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wichgroup-my.sharepoint.com/personal/blaine_johnstone_psco_co_uk/Documents/Documents/Vendors/"/>
    </mc:Choice>
  </mc:AlternateContent>
  <xr:revisionPtr revIDLastSave="45" documentId="8_{7561ADB5-7141-4AF2-BBC0-9699C66F3868}" xr6:coauthVersionLast="47" xr6:coauthVersionMax="47" xr10:uidLastSave="{01F7F78E-BD20-4BFB-81E7-569580FDBD85}"/>
  <bookViews>
    <workbookView xWindow="-120" yWindow="-120" windowWidth="51840" windowHeight="21240" xr2:uid="{85CEBA16-9162-44C3-B1C5-A1441F8A9059}"/>
  </bookViews>
  <sheets>
    <sheet name="Absen PL2.5" sheetId="2" r:id="rId1"/>
  </sheets>
  <definedNames>
    <definedName name="_xlnm.Print_Area" localSheetId="0">'Absen PL2.5'!$A$1:$AD$61</definedName>
    <definedName name="Z_CD2FD257_4262_4788_AE81_C6A6CA6DAA2A_.wvu.Cols" localSheetId="0" hidden="1">'Absen PL2.5'!#REF!,'Absen PL2.5'!#REF!,'Absen PL2.5'!#REF!,'Absen PL2.5'!#REF!,'Absen PL2.5'!#REF!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2" l="1"/>
  <c r="M6" i="2"/>
  <c r="H4" i="2" s="1"/>
  <c r="M35" i="2" s="1"/>
  <c r="M36" i="2" s="1"/>
  <c r="K6" i="2"/>
  <c r="H5" i="2" l="1"/>
  <c r="H36" i="2" s="1"/>
  <c r="F50" i="2" s="1"/>
  <c r="H6" i="2"/>
  <c r="H38" i="2"/>
  <c r="H35" i="2"/>
  <c r="F4" i="2"/>
  <c r="F38" i="2" s="1"/>
  <c r="F9" i="2" l="1"/>
  <c r="R28" i="2" s="1"/>
  <c r="F25" i="2"/>
  <c r="K12" i="2" s="1"/>
  <c r="K23" i="2" s="1"/>
  <c r="F5" i="2"/>
  <c r="F43" i="2" s="1"/>
  <c r="G43" i="2" s="1"/>
  <c r="F35" i="2"/>
  <c r="F6" i="2"/>
  <c r="F8" i="2" s="1"/>
  <c r="K35" i="2"/>
  <c r="K36" i="2" s="1"/>
  <c r="K37" i="2" s="1"/>
  <c r="F7" i="2"/>
  <c r="F13" i="2" s="1"/>
  <c r="K43" i="2" l="1"/>
  <c r="K42" i="2" s="1"/>
  <c r="K46" i="2" s="1"/>
  <c r="F36" i="2"/>
  <c r="F37" i="2" s="1"/>
  <c r="F16" i="2"/>
  <c r="F19" i="2"/>
  <c r="F10" i="2"/>
  <c r="F11" i="2" s="1"/>
  <c r="F20" i="2"/>
  <c r="F14" i="2"/>
  <c r="F15" i="2" s="1"/>
  <c r="F27" i="2" s="1"/>
  <c r="K14" i="2" s="1"/>
  <c r="K25" i="2" s="1"/>
  <c r="S28" i="2"/>
  <c r="F17" i="2"/>
  <c r="F26" i="2"/>
  <c r="K11" i="2" s="1"/>
  <c r="K22" i="2" s="1"/>
  <c r="H43" i="2"/>
  <c r="F42" i="2"/>
  <c r="G42" i="2" s="1"/>
  <c r="F12" i="2"/>
  <c r="K17" i="2" s="1"/>
  <c r="K29" i="2" s="1"/>
  <c r="H42" i="2"/>
  <c r="G50" i="2"/>
  <c r="L43" i="2" l="1"/>
  <c r="M42" i="2"/>
  <c r="L42" i="2"/>
  <c r="M43" i="2"/>
  <c r="M46" i="2"/>
  <c r="K38" i="2" s="1"/>
  <c r="R24" i="2" s="1"/>
  <c r="F45" i="2"/>
  <c r="I50" i="2" s="1"/>
  <c r="S27" i="2" s="1"/>
  <c r="K15" i="2"/>
  <c r="K26" i="2" s="1"/>
  <c r="F21" i="2"/>
  <c r="F47" i="2"/>
  <c r="F29" i="2"/>
  <c r="F18" i="2"/>
  <c r="L46" i="2" l="1"/>
  <c r="K44" i="2" s="1"/>
  <c r="H45" i="2"/>
  <c r="F46" i="2"/>
  <c r="H46" i="2" s="1"/>
  <c r="S23" i="2"/>
  <c r="R23" i="2"/>
  <c r="R26" i="2" s="1"/>
  <c r="R25" i="2" s="1"/>
  <c r="H47" i="2"/>
  <c r="F49" i="2"/>
  <c r="H49" i="2" s="1"/>
  <c r="K30" i="2"/>
  <c r="F30" i="2"/>
  <c r="F48" i="2" l="1"/>
  <c r="H48" i="2" s="1"/>
  <c r="G46" i="2"/>
  <c r="H37" i="2" s="1"/>
  <c r="R29" i="2"/>
  <c r="S24" i="2"/>
  <c r="F22" i="2" s="1"/>
  <c r="F23" i="2" l="1"/>
  <c r="S25" i="2" l="1"/>
  <c r="S26" i="2"/>
  <c r="S29" i="2" s="1"/>
</calcChain>
</file>

<file path=xl/sharedStrings.xml><?xml version="1.0" encoding="utf-8"?>
<sst xmlns="http://schemas.openxmlformats.org/spreadsheetml/2006/main" count="182" uniqueCount="102">
  <si>
    <t>W</t>
  </si>
  <si>
    <t>H</t>
  </si>
  <si>
    <t>Panels</t>
  </si>
  <si>
    <t>X</t>
  </si>
  <si>
    <t>Size Guide (M)</t>
  </si>
  <si>
    <t>Metres</t>
  </si>
  <si>
    <t>Product</t>
  </si>
  <si>
    <t>Pixel Count</t>
  </si>
  <si>
    <t>Size (M)</t>
  </si>
  <si>
    <t>Total Pixels</t>
  </si>
  <si>
    <t>Aspect Ratio</t>
  </si>
  <si>
    <t>Total Panels</t>
  </si>
  <si>
    <t>Spares/ Extras</t>
  </si>
  <si>
    <t>Key Info</t>
  </si>
  <si>
    <t>Flight Cases</t>
  </si>
  <si>
    <t>Kg</t>
  </si>
  <si>
    <t>Screen</t>
  </si>
  <si>
    <t>Spare Slots In Flight Case</t>
  </si>
  <si>
    <t>PowerCon True1 Link (1M)</t>
  </si>
  <si>
    <t>Panel Width</t>
  </si>
  <si>
    <t>M</t>
  </si>
  <si>
    <t>PowerCon True1 Start (20M)</t>
  </si>
  <si>
    <t>Panel Height</t>
  </si>
  <si>
    <t>Max Data</t>
  </si>
  <si>
    <t>Pixel Width</t>
  </si>
  <si>
    <t>Data Start (20M)</t>
  </si>
  <si>
    <t>Data Link(1M)</t>
  </si>
  <si>
    <t>Pixel Height</t>
  </si>
  <si>
    <t>Backup Data Starts</t>
  </si>
  <si>
    <t xml:space="preserve">Power Draw </t>
  </si>
  <si>
    <t>A</t>
  </si>
  <si>
    <t>Max String</t>
  </si>
  <si>
    <t>Screen Power Draw (Per Circuit)</t>
  </si>
  <si>
    <t>Earth Leakage</t>
  </si>
  <si>
    <t>mA</t>
  </si>
  <si>
    <t>Earth Leakage (Per Circuit)</t>
  </si>
  <si>
    <t>Panel Weight</t>
  </si>
  <si>
    <t>Total Power - Inc Processing</t>
  </si>
  <si>
    <t xml:space="preserve">Flight Case </t>
  </si>
  <si>
    <t>Weight (Panels only)</t>
  </si>
  <si>
    <t>Panels per case</t>
  </si>
  <si>
    <t>Cable Weight</t>
  </si>
  <si>
    <t>Total Cables</t>
  </si>
  <si>
    <t>Total Screen Weight</t>
  </si>
  <si>
    <t>Projected Weight</t>
  </si>
  <si>
    <t>Van Load Capacity</t>
  </si>
  <si>
    <t>Rigging</t>
  </si>
  <si>
    <t>Flown</t>
  </si>
  <si>
    <t>Stacked</t>
  </si>
  <si>
    <t>L</t>
  </si>
  <si>
    <t>Per Metre</t>
  </si>
  <si>
    <t>Small Van</t>
  </si>
  <si>
    <t>Luton</t>
  </si>
  <si>
    <t>Data Link (1M)</t>
  </si>
  <si>
    <t>4M Van</t>
  </si>
  <si>
    <t>Screen Total</t>
  </si>
  <si>
    <t>Large Van</t>
  </si>
  <si>
    <t>7.5 Ton</t>
  </si>
  <si>
    <t>12 Ton</t>
  </si>
  <si>
    <t>13A Power (16-13)</t>
  </si>
  <si>
    <t>Transport Total</t>
  </si>
  <si>
    <t>25 Ton</t>
  </si>
  <si>
    <t>16A Feeds Required</t>
  </si>
  <si>
    <t>16 - 13A Distro (6x13A)</t>
  </si>
  <si>
    <t>Rigging Info</t>
  </si>
  <si>
    <t>Ground Stack</t>
  </si>
  <si>
    <t>Height</t>
  </si>
  <si>
    <t>Width (M)</t>
  </si>
  <si>
    <t>Weight</t>
  </si>
  <si>
    <t>Screen - M</t>
  </si>
  <si>
    <t>1 Panel Ground Beam</t>
  </si>
  <si>
    <t>Ground Stack - M</t>
  </si>
  <si>
    <t>Hang Beam - M</t>
  </si>
  <si>
    <t>N/A</t>
  </si>
  <si>
    <t>2 Panel Ground Beam</t>
  </si>
  <si>
    <t>Outrigger</t>
  </si>
  <si>
    <t>Item</t>
  </si>
  <si>
    <t>QTY</t>
  </si>
  <si>
    <t>Fixing Arms</t>
  </si>
  <si>
    <t>1 Panel GB (0.5M)</t>
  </si>
  <si>
    <t>1 Panels (0.5M)</t>
  </si>
  <si>
    <t>Footstool</t>
  </si>
  <si>
    <t>2 Panel GB (1M)</t>
  </si>
  <si>
    <t>2 Panels (1M)</t>
  </si>
  <si>
    <t>2 Panel Hanging Beam</t>
  </si>
  <si>
    <t>Total Points</t>
  </si>
  <si>
    <t>1 Panel Hanging Beam</t>
  </si>
  <si>
    <t>Ladder</t>
  </si>
  <si>
    <t>Total</t>
  </si>
  <si>
    <t>Ballast Requirement</t>
  </si>
  <si>
    <t>Height (M)</t>
  </si>
  <si>
    <t>Weight Per/M</t>
  </si>
  <si>
    <t>Ladder Connector</t>
  </si>
  <si>
    <t>12.5kg Weights Per Metre</t>
  </si>
  <si>
    <t>Ballast needed Per Metre</t>
  </si>
  <si>
    <t>Total # of Weights</t>
  </si>
  <si>
    <t>Stage Weights</t>
  </si>
  <si>
    <t>Absen PL2.5 v2</t>
  </si>
  <si>
    <t xml:space="preserve">HD Controller Option (Main) </t>
  </si>
  <si>
    <t>4k Controller Option (Main)</t>
  </si>
  <si>
    <t>HD Controllers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</si>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</sst>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0.0"/>
    <numFmt numFmtId="165" formatCode="0.000"/>
    <numFmt numFmtId="166" formatCode="0\ &quot;kg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Trebuchet MS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3F92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5">
    <xf numFmtId="0" fontId="0" fillId="0" borderId="0" xfId="0"/>
    <xf numFmtId="164" fontId="2" fillId="6" borderId="0" xfId="0" applyNumberFormat="1" applyFont="1" applyFill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center"/>
      <protection locked="0"/>
    </xf>
    <xf numFmtId="49" fontId="8" fillId="2" borderId="0" xfId="2" applyNumberFormat="1" applyFont="1" applyFill="1" applyProtection="1"/>
    <xf numFmtId="44" fontId="2" fillId="2" borderId="0" xfId="1" applyFont="1" applyFill="1" applyBorder="1" applyProtection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0" fillId="4" borderId="1" xfId="0" applyFill="1" applyBorder="1"/>
    <xf numFmtId="0" fontId="0" fillId="4" borderId="2" xfId="0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4" xfId="0" applyFont="1" applyFill="1" applyBorder="1"/>
    <xf numFmtId="0" fontId="0" fillId="4" borderId="0" xfId="0" applyFill="1"/>
    <xf numFmtId="0" fontId="2" fillId="5" borderId="10" xfId="0" applyFont="1" applyFill="1" applyBorder="1"/>
    <xf numFmtId="2" fontId="2" fillId="5" borderId="0" xfId="0" applyNumberFormat="1" applyFont="1" applyFill="1" applyAlignment="1">
      <alignment horizontal="center"/>
    </xf>
    <xf numFmtId="1" fontId="2" fillId="5" borderId="0" xfId="0" applyNumberFormat="1" applyFont="1" applyFill="1"/>
    <xf numFmtId="0" fontId="2" fillId="5" borderId="1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9" xfId="0" applyFont="1" applyFill="1" applyBorder="1" applyAlignment="1">
      <alignment horizontal="center"/>
    </xf>
    <xf numFmtId="1" fontId="2" fillId="5" borderId="0" xfId="0" applyNumberFormat="1" applyFont="1" applyFill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5" borderId="18" xfId="0" applyFont="1" applyFill="1" applyBorder="1"/>
    <xf numFmtId="1" fontId="2" fillId="5" borderId="19" xfId="0" applyNumberFormat="1" applyFont="1" applyFill="1" applyBorder="1" applyAlignment="1">
      <alignment horizontal="center"/>
    </xf>
    <xf numFmtId="0" fontId="2" fillId="4" borderId="16" xfId="0" applyFont="1" applyFill="1" applyBorder="1"/>
    <xf numFmtId="0" fontId="2" fillId="4" borderId="0" xfId="0" applyFont="1" applyFill="1"/>
    <xf numFmtId="1" fontId="2" fillId="4" borderId="17" xfId="0" applyNumberFormat="1" applyFont="1" applyFill="1" applyBorder="1" applyAlignment="1">
      <alignment horizontal="right"/>
    </xf>
    <xf numFmtId="12" fontId="2" fillId="4" borderId="3" xfId="0" applyNumberFormat="1" applyFont="1" applyFill="1" applyBorder="1"/>
    <xf numFmtId="0" fontId="2" fillId="0" borderId="0" xfId="0" applyFont="1"/>
    <xf numFmtId="2" fontId="2" fillId="4" borderId="17" xfId="0" applyNumberFormat="1" applyFont="1" applyFill="1" applyBorder="1" applyAlignment="1">
      <alignment horizontal="right"/>
    </xf>
    <xf numFmtId="0" fontId="6" fillId="4" borderId="12" xfId="0" applyFont="1" applyFill="1" applyBorder="1" applyAlignment="1">
      <alignment vertical="center"/>
    </xf>
    <xf numFmtId="0" fontId="2" fillId="7" borderId="17" xfId="0" applyFont="1" applyFill="1" applyBorder="1"/>
    <xf numFmtId="0" fontId="2" fillId="4" borderId="9" xfId="0" applyFont="1" applyFill="1" applyBorder="1"/>
    <xf numFmtId="0" fontId="3" fillId="4" borderId="8" xfId="0" applyFont="1" applyFill="1" applyBorder="1"/>
    <xf numFmtId="0" fontId="3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3" fillId="2" borderId="0" xfId="0" applyFont="1" applyFill="1"/>
    <xf numFmtId="1" fontId="2" fillId="4" borderId="0" xfId="0" applyNumberFormat="1" applyFont="1" applyFill="1"/>
    <xf numFmtId="1" fontId="2" fillId="4" borderId="3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4" borderId="9" xfId="0" applyNumberFormat="1" applyFont="1" applyFill="1" applyBorder="1" applyAlignment="1">
      <alignment horizontal="center"/>
    </xf>
    <xf numFmtId="0" fontId="2" fillId="2" borderId="0" xfId="1" applyNumberFormat="1" applyFont="1" applyFill="1" applyBorder="1" applyAlignment="1" applyProtection="1">
      <alignment horizontal="center"/>
    </xf>
    <xf numFmtId="165" fontId="2" fillId="4" borderId="0" xfId="0" applyNumberFormat="1" applyFont="1" applyFill="1"/>
    <xf numFmtId="164" fontId="2" fillId="4" borderId="0" xfId="0" applyNumberFormat="1" applyFont="1" applyFill="1"/>
    <xf numFmtId="1" fontId="2" fillId="4" borderId="15" xfId="0" applyNumberFormat="1" applyFont="1" applyFill="1" applyBorder="1" applyAlignment="1">
      <alignment horizontal="center"/>
    </xf>
    <xf numFmtId="1" fontId="2" fillId="2" borderId="0" xfId="0" applyNumberFormat="1" applyFont="1" applyFill="1"/>
    <xf numFmtId="0" fontId="2" fillId="4" borderId="14" xfId="0" applyFont="1" applyFill="1" applyBorder="1"/>
    <xf numFmtId="0" fontId="2" fillId="4" borderId="13" xfId="0" applyFont="1" applyFill="1" applyBorder="1"/>
    <xf numFmtId="0" fontId="2" fillId="4" borderId="15" xfId="0" applyFont="1" applyFill="1" applyBorder="1"/>
    <xf numFmtId="0" fontId="2" fillId="4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1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left"/>
    </xf>
    <xf numFmtId="1" fontId="2" fillId="7" borderId="13" xfId="0" applyNumberFormat="1" applyFont="1" applyFill="1" applyBorder="1" applyAlignment="1">
      <alignment horizontal="right"/>
    </xf>
    <xf numFmtId="0" fontId="2" fillId="4" borderId="1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9" fontId="2" fillId="2" borderId="0" xfId="0" applyNumberFormat="1" applyFont="1" applyFill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0" fillId="4" borderId="4" xfId="0" applyFill="1" applyBorder="1"/>
    <xf numFmtId="0" fontId="0" fillId="4" borderId="14" xfId="0" applyFill="1" applyBorder="1"/>
    <xf numFmtId="0" fontId="2" fillId="4" borderId="13" xfId="0" applyFont="1" applyFill="1" applyBorder="1" applyAlignment="1">
      <alignment wrapText="1"/>
    </xf>
    <xf numFmtId="0" fontId="2" fillId="3" borderId="0" xfId="0" applyFont="1" applyFill="1"/>
    <xf numFmtId="1" fontId="0" fillId="7" borderId="8" xfId="0" applyNumberFormat="1" applyFill="1" applyBorder="1" applyAlignment="1">
      <alignment horizontal="center"/>
    </xf>
    <xf numFmtId="1" fontId="0" fillId="7" borderId="12" xfId="0" applyNumberFormat="1" applyFill="1" applyBorder="1" applyAlignment="1">
      <alignment horizontal="center"/>
    </xf>
    <xf numFmtId="1" fontId="0" fillId="7" borderId="16" xfId="0" applyNumberFormat="1" applyFill="1" applyBorder="1" applyAlignment="1">
      <alignment horizontal="center"/>
    </xf>
    <xf numFmtId="1" fontId="2" fillId="5" borderId="20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0" fillId="2" borderId="0" xfId="0" applyFont="1" applyFill="1"/>
    <xf numFmtId="0" fontId="10" fillId="3" borderId="0" xfId="0" applyFont="1" applyFill="1"/>
    <xf numFmtId="0" fontId="10" fillId="0" borderId="0" xfId="0" applyFont="1"/>
    <xf numFmtId="0" fontId="13" fillId="4" borderId="4" xfId="0" applyFont="1" applyFill="1" applyBorder="1"/>
    <xf numFmtId="0" fontId="13" fillId="4" borderId="0" xfId="0" applyFont="1" applyFill="1"/>
    <xf numFmtId="1" fontId="13" fillId="4" borderId="0" xfId="0" applyNumberFormat="1" applyFont="1" applyFill="1" applyAlignment="1">
      <alignment horizontal="right"/>
    </xf>
    <xf numFmtId="1" fontId="13" fillId="4" borderId="9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wrapText="1"/>
    </xf>
    <xf numFmtId="0" fontId="2" fillId="4" borderId="17" xfId="0" applyFont="1" applyFill="1" applyBorder="1" applyAlignment="1">
      <alignment horizontal="left" wrapText="1"/>
    </xf>
    <xf numFmtId="166" fontId="9" fillId="7" borderId="17" xfId="0" applyNumberFormat="1" applyFont="1" applyFill="1" applyBorder="1" applyAlignment="1">
      <alignment horizontal="center" vertical="center"/>
    </xf>
    <xf numFmtId="1" fontId="2" fillId="7" borderId="1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1" fontId="2" fillId="4" borderId="0" xfId="0" applyNumberFormat="1" applyFont="1" applyFill="1" applyAlignment="1">
      <alignment horizontal="center"/>
    </xf>
    <xf numFmtId="1" fontId="2" fillId="4" borderId="9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/>
    </xf>
    <xf numFmtId="49" fontId="2" fillId="4" borderId="0" xfId="0" applyNumberFormat="1" applyFont="1" applyFill="1" applyAlignment="1">
      <alignment horizontal="left"/>
    </xf>
    <xf numFmtId="1" fontId="2" fillId="7" borderId="21" xfId="0" applyNumberFormat="1" applyFont="1" applyFill="1" applyBorder="1" applyAlignment="1">
      <alignment horizontal="center"/>
    </xf>
    <xf numFmtId="1" fontId="2" fillId="7" borderId="2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left"/>
    </xf>
    <xf numFmtId="49" fontId="2" fillId="4" borderId="13" xfId="0" applyNumberFormat="1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4" borderId="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1" tint="-0.499984740745262"/>
        </patternFill>
      </fill>
    </dxf>
    <dxf>
      <fill>
        <patternFill>
          <bgColor theme="1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4B65-DBCF-4B78-B59C-EE2BE4CC0581}">
  <sheetPr>
    <tabColor rgb="FFFFC000"/>
    <pageSetUpPr fitToPage="1"/>
  </sheetPr>
  <dimension ref="A1:AO68"/>
  <sheetViews>
    <sheetView showGridLines="0" showRowColHeaders="0" tabSelected="1" zoomScale="85" zoomScaleNormal="85" zoomScaleSheetLayoutView="85" workbookViewId="0">
      <selection activeCell="N25" sqref="N25"/>
    </sheetView>
  </sheetViews>
  <sheetFormatPr defaultColWidth="9.140625" defaultRowHeight="15" x14ac:dyDescent="0.25"/>
  <cols>
    <col min="4" max="4" width="12" bestFit="1" customWidth="1"/>
    <col min="5" max="5" width="16.140625" customWidth="1"/>
    <col min="6" max="7" width="10.5703125" style="34" customWidth="1"/>
    <col min="8" max="8" width="9.140625" style="34"/>
    <col min="9" max="9" width="15.85546875" style="34" bestFit="1" customWidth="1"/>
    <col min="10" max="10" width="14.85546875" style="34" bestFit="1" customWidth="1"/>
    <col min="11" max="13" width="9.140625" style="34"/>
    <col min="14" max="15" width="9.140625" style="34" customWidth="1"/>
    <col min="16" max="16" width="14.42578125" style="34" bestFit="1" customWidth="1"/>
    <col min="17" max="17" width="13.85546875" style="34" bestFit="1" customWidth="1"/>
    <col min="18" max="18" width="9.140625" style="34"/>
    <col min="19" max="19" width="10.140625" style="34" bestFit="1" customWidth="1"/>
    <col min="20" max="20" width="9.140625" style="34"/>
    <col min="21" max="21" width="12.85546875" style="34" customWidth="1"/>
    <col min="22" max="22" width="10.42578125" style="34" customWidth="1"/>
    <col min="23" max="23" width="11" style="34" bestFit="1" customWidth="1"/>
    <col min="24" max="24" width="5.42578125" style="34" customWidth="1"/>
    <col min="25" max="27" width="8" style="34" customWidth="1"/>
    <col min="30" max="30" width="11.140625" customWidth="1"/>
    <col min="31" max="31" width="9.140625" style="7"/>
  </cols>
  <sheetData>
    <row r="1" spans="1:41" s="7" customFormat="1" x14ac:dyDescent="0.25">
      <c r="A1" s="5"/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5"/>
      <c r="AC1" s="5"/>
      <c r="AD1" s="5"/>
      <c r="AF1"/>
      <c r="AG1"/>
      <c r="AH1"/>
      <c r="AI1"/>
      <c r="AJ1"/>
      <c r="AK1"/>
      <c r="AL1"/>
      <c r="AM1"/>
      <c r="AN1"/>
      <c r="AO1"/>
    </row>
    <row r="2" spans="1:41" s="7" customFormat="1" x14ac:dyDescent="0.25">
      <c r="A2" s="5"/>
      <c r="B2" s="5"/>
      <c r="C2" s="5"/>
      <c r="D2" s="5"/>
      <c r="E2" s="5"/>
      <c r="F2" s="6"/>
      <c r="G2" s="6"/>
      <c r="H2" s="6"/>
      <c r="I2" s="6"/>
      <c r="J2" s="131"/>
      <c r="K2" s="131"/>
      <c r="L2" s="13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5"/>
      <c r="AC2" s="5"/>
      <c r="AD2" s="5"/>
      <c r="AF2"/>
      <c r="AG2"/>
      <c r="AH2"/>
      <c r="AI2"/>
      <c r="AJ2"/>
      <c r="AK2"/>
      <c r="AL2"/>
      <c r="AM2"/>
      <c r="AN2"/>
      <c r="AO2"/>
    </row>
    <row r="3" spans="1:41" s="7" customFormat="1" x14ac:dyDescent="0.25">
      <c r="A3" s="5"/>
      <c r="B3" s="5"/>
      <c r="C3" s="5"/>
      <c r="D3" s="8"/>
      <c r="E3" s="9"/>
      <c r="F3" s="10" t="s">
        <v>0</v>
      </c>
      <c r="G3" s="10"/>
      <c r="H3" s="11" t="s">
        <v>1</v>
      </c>
      <c r="I3" s="6"/>
      <c r="J3" s="132" t="s">
        <v>4</v>
      </c>
      <c r="K3" s="133"/>
      <c r="L3" s="133"/>
      <c r="M3" s="134"/>
      <c r="N3" s="6"/>
      <c r="O3" s="6"/>
      <c r="P3" s="6"/>
      <c r="Q3" s="6"/>
      <c r="R3" s="12"/>
      <c r="S3" s="12"/>
      <c r="T3" s="6"/>
      <c r="U3" s="6"/>
      <c r="V3" s="6"/>
      <c r="W3" s="6"/>
      <c r="X3" s="6"/>
      <c r="Y3" s="6"/>
      <c r="Z3" s="6"/>
      <c r="AA3" s="6"/>
      <c r="AB3" s="5"/>
      <c r="AC3" s="5"/>
      <c r="AD3" s="5"/>
      <c r="AF3"/>
      <c r="AG3"/>
      <c r="AH3"/>
      <c r="AI3"/>
      <c r="AJ3"/>
      <c r="AK3"/>
      <c r="AL3"/>
      <c r="AM3"/>
      <c r="AN3"/>
      <c r="AO3"/>
    </row>
    <row r="4" spans="1:41" s="7" customFormat="1" ht="15" customHeight="1" x14ac:dyDescent="0.25">
      <c r="A4" s="5"/>
      <c r="B4" s="5"/>
      <c r="C4" s="5"/>
      <c r="D4" s="13" t="s">
        <v>2</v>
      </c>
      <c r="E4" s="14"/>
      <c r="F4" s="82">
        <f>K6</f>
        <v>13</v>
      </c>
      <c r="G4" s="83" t="s">
        <v>3</v>
      </c>
      <c r="H4" s="45">
        <f>M6</f>
        <v>5</v>
      </c>
      <c r="I4" s="6"/>
      <c r="J4" s="15"/>
      <c r="K4" s="16" t="s">
        <v>0</v>
      </c>
      <c r="L4" s="17"/>
      <c r="M4" s="18" t="s">
        <v>1</v>
      </c>
      <c r="N4" s="6"/>
      <c r="O4" s="6"/>
      <c r="P4" s="19"/>
      <c r="Q4" s="122" t="s">
        <v>97</v>
      </c>
      <c r="R4" s="123"/>
      <c r="S4" s="123"/>
      <c r="T4" s="123"/>
      <c r="U4" s="123"/>
      <c r="V4" s="124"/>
      <c r="W4" s="6"/>
      <c r="X4" s="6"/>
      <c r="Y4" s="6"/>
      <c r="Z4" s="6"/>
      <c r="AA4" s="6"/>
      <c r="AB4" s="5"/>
      <c r="AC4" s="5"/>
      <c r="AD4" s="5"/>
      <c r="AF4"/>
      <c r="AG4"/>
      <c r="AH4"/>
      <c r="AI4"/>
      <c r="AJ4"/>
      <c r="AK4"/>
      <c r="AL4"/>
      <c r="AM4"/>
      <c r="AN4"/>
      <c r="AO4"/>
    </row>
    <row r="5" spans="1:41" s="7" customFormat="1" ht="15.75" customHeight="1" x14ac:dyDescent="0.25">
      <c r="A5" s="5"/>
      <c r="B5" s="5"/>
      <c r="C5" s="5"/>
      <c r="D5" s="13" t="s">
        <v>5</v>
      </c>
      <c r="E5" s="14"/>
      <c r="F5" s="20">
        <f>F4*Q11</f>
        <v>6.5</v>
      </c>
      <c r="G5" s="21" t="s">
        <v>3</v>
      </c>
      <c r="H5" s="22">
        <f>H4*Q12</f>
        <v>2.5</v>
      </c>
      <c r="I5" s="6"/>
      <c r="J5" s="15" t="s">
        <v>8</v>
      </c>
      <c r="K5" s="1">
        <v>6.5</v>
      </c>
      <c r="L5" s="23" t="s">
        <v>101</v>
      </c>
      <c r="M5" s="2">
        <v>2.5</v>
      </c>
      <c r="N5" s="6"/>
      <c r="O5" s="6"/>
      <c r="P5" s="24" t="s">
        <v>6</v>
      </c>
      <c r="Q5" s="125"/>
      <c r="R5" s="126"/>
      <c r="S5" s="126"/>
      <c r="T5" s="126"/>
      <c r="U5" s="126"/>
      <c r="V5" s="127"/>
      <c r="W5" s="6"/>
      <c r="X5" s="6"/>
      <c r="Y5" s="6"/>
      <c r="Z5" s="6"/>
      <c r="AA5" s="6"/>
      <c r="AB5" s="5"/>
      <c r="AC5" s="5"/>
      <c r="AD5" s="5"/>
      <c r="AF5"/>
      <c r="AG5"/>
      <c r="AH5"/>
      <c r="AI5"/>
      <c r="AJ5"/>
      <c r="AK5"/>
      <c r="AL5"/>
      <c r="AM5"/>
      <c r="AN5"/>
      <c r="AO5"/>
    </row>
    <row r="6" spans="1:41" s="7" customFormat="1" ht="15" customHeight="1" x14ac:dyDescent="0.25">
      <c r="A6" s="5"/>
      <c r="B6" s="5"/>
      <c r="C6" s="5"/>
      <c r="D6" s="13" t="s">
        <v>7</v>
      </c>
      <c r="E6" s="14"/>
      <c r="F6" s="25">
        <f>F4*Q13</f>
        <v>2600</v>
      </c>
      <c r="G6" s="26" t="s">
        <v>3</v>
      </c>
      <c r="H6" s="27">
        <f>H4*Q14</f>
        <v>1000</v>
      </c>
      <c r="I6" s="6"/>
      <c r="J6" s="28" t="s">
        <v>2</v>
      </c>
      <c r="K6" s="29">
        <f>K5/Q11</f>
        <v>13</v>
      </c>
      <c r="L6" s="29" t="s">
        <v>3</v>
      </c>
      <c r="M6" s="81">
        <f>M5/Q12</f>
        <v>5</v>
      </c>
      <c r="N6" s="6"/>
      <c r="O6" s="6"/>
      <c r="P6" s="30"/>
      <c r="Q6" s="128"/>
      <c r="R6" s="129"/>
      <c r="S6" s="129"/>
      <c r="T6" s="129"/>
      <c r="U6" s="129"/>
      <c r="V6" s="130"/>
      <c r="W6" s="6"/>
      <c r="X6" s="6"/>
      <c r="Y6" s="6"/>
      <c r="Z6" s="6"/>
      <c r="AA6" s="6"/>
      <c r="AB6" s="5"/>
      <c r="AC6" s="5"/>
      <c r="AD6" s="5"/>
      <c r="AF6"/>
      <c r="AG6"/>
      <c r="AH6"/>
      <c r="AI6"/>
      <c r="AJ6"/>
      <c r="AK6"/>
      <c r="AL6"/>
      <c r="AM6"/>
      <c r="AN6"/>
      <c r="AO6"/>
    </row>
    <row r="7" spans="1:41" s="7" customFormat="1" x14ac:dyDescent="0.25">
      <c r="A7" s="5"/>
      <c r="B7" s="5"/>
      <c r="C7" s="5"/>
      <c r="D7" s="13" t="s">
        <v>9</v>
      </c>
      <c r="E7" s="31"/>
      <c r="F7" s="32">
        <f>F6*H6</f>
        <v>2600000</v>
      </c>
      <c r="G7" s="33"/>
      <c r="H7" s="6"/>
      <c r="I7" s="6"/>
      <c r="J7" s="34"/>
      <c r="K7" s="34"/>
      <c r="L7" s="34"/>
      <c r="M7" s="34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5"/>
      <c r="AC7" s="5"/>
      <c r="AD7" s="5"/>
      <c r="AF7"/>
      <c r="AG7"/>
      <c r="AH7"/>
      <c r="AI7"/>
      <c r="AJ7"/>
      <c r="AK7"/>
      <c r="AL7"/>
      <c r="AM7"/>
      <c r="AN7"/>
      <c r="AO7"/>
    </row>
    <row r="8" spans="1:41" s="7" customFormat="1" x14ac:dyDescent="0.25">
      <c r="A8" s="5"/>
      <c r="B8" s="5"/>
      <c r="C8" s="5"/>
      <c r="D8" s="13" t="s">
        <v>10</v>
      </c>
      <c r="E8" s="31"/>
      <c r="F8" s="35" t="str">
        <f>IF(OR(F6="",H6=""),"",16&amp;":"&amp;ROUND((H6/(F6/16)),1))</f>
        <v>16:6.2</v>
      </c>
      <c r="G8" s="3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5"/>
      <c r="AC8" s="5"/>
      <c r="AD8" s="5"/>
      <c r="AF8"/>
      <c r="AG8"/>
      <c r="AH8"/>
      <c r="AI8"/>
      <c r="AJ8"/>
      <c r="AK8"/>
      <c r="AL8"/>
      <c r="AM8"/>
      <c r="AN8"/>
      <c r="AO8"/>
    </row>
    <row r="9" spans="1:41" s="7" customFormat="1" x14ac:dyDescent="0.25">
      <c r="A9" s="5"/>
      <c r="B9" s="5"/>
      <c r="C9" s="5"/>
      <c r="D9" s="104" t="s">
        <v>11</v>
      </c>
      <c r="E9" s="105"/>
      <c r="F9" s="37">
        <f>F4*H4</f>
        <v>65</v>
      </c>
      <c r="G9" s="38"/>
      <c r="H9" s="6"/>
      <c r="I9" s="39" t="s">
        <v>12</v>
      </c>
      <c r="J9" s="6"/>
      <c r="K9" s="6"/>
      <c r="L9" s="6"/>
      <c r="M9" s="6"/>
      <c r="N9" s="6"/>
      <c r="O9" s="6"/>
      <c r="P9" s="40" t="s">
        <v>13</v>
      </c>
      <c r="Q9" s="41"/>
      <c r="R9" s="41"/>
      <c r="S9" s="42"/>
      <c r="T9" s="6"/>
      <c r="U9" s="6"/>
      <c r="V9" s="6"/>
      <c r="W9" s="43"/>
      <c r="X9" s="6"/>
      <c r="Y9" s="6"/>
      <c r="Z9" s="6"/>
      <c r="AA9" s="6"/>
      <c r="AB9" s="5"/>
      <c r="AC9" s="5"/>
      <c r="AD9" s="5"/>
      <c r="AF9"/>
      <c r="AG9"/>
      <c r="AH9"/>
      <c r="AI9"/>
      <c r="AJ9"/>
      <c r="AK9"/>
      <c r="AL9"/>
      <c r="AM9"/>
      <c r="AN9"/>
      <c r="AO9"/>
    </row>
    <row r="10" spans="1:41" s="7" customFormat="1" x14ac:dyDescent="0.25">
      <c r="A10" s="5"/>
      <c r="B10" s="5"/>
      <c r="C10" s="5"/>
      <c r="D10" s="104" t="s">
        <v>14</v>
      </c>
      <c r="E10" s="105"/>
      <c r="F10" s="44">
        <f>ROUNDUP(F9/Q19,0)</f>
        <v>11</v>
      </c>
      <c r="G10" s="38"/>
      <c r="H10" s="6"/>
      <c r="I10" s="114"/>
      <c r="J10" s="101"/>
      <c r="K10" s="45"/>
      <c r="L10" s="46"/>
      <c r="M10" s="6"/>
      <c r="N10" s="6"/>
      <c r="O10" s="6"/>
      <c r="P10" s="13"/>
      <c r="Q10" s="31"/>
      <c r="R10" s="31"/>
      <c r="S10" s="38"/>
      <c r="T10" s="6"/>
      <c r="U10" s="6"/>
      <c r="V10" s="6"/>
      <c r="W10" s="6"/>
      <c r="X10" s="6"/>
      <c r="Y10" s="6"/>
      <c r="Z10" s="6"/>
      <c r="AA10" s="6"/>
      <c r="AB10" s="5"/>
      <c r="AC10" s="5"/>
      <c r="AD10" s="5"/>
      <c r="AF10"/>
      <c r="AG10"/>
      <c r="AH10"/>
      <c r="AI10"/>
      <c r="AJ10"/>
      <c r="AK10"/>
      <c r="AL10"/>
      <c r="AM10"/>
      <c r="AN10"/>
      <c r="AO10"/>
    </row>
    <row r="11" spans="1:41" s="7" customFormat="1" x14ac:dyDescent="0.25">
      <c r="A11" s="5"/>
      <c r="B11" s="5"/>
      <c r="C11" s="5"/>
      <c r="D11" s="104" t="s">
        <v>17</v>
      </c>
      <c r="E11" s="105"/>
      <c r="F11" s="44">
        <f>(F10-(F9/Q19))*Q19</f>
        <v>0.99999999999999645</v>
      </c>
      <c r="G11" s="38"/>
      <c r="H11" s="6"/>
      <c r="I11" s="104" t="s">
        <v>18</v>
      </c>
      <c r="J11" s="105"/>
      <c r="K11" s="47">
        <f>ROUNDUP(F26*0.1,0)</f>
        <v>7</v>
      </c>
      <c r="L11" s="46"/>
      <c r="M11" s="6"/>
      <c r="N11" s="6"/>
      <c r="O11" s="6"/>
      <c r="P11" s="13" t="s">
        <v>19</v>
      </c>
      <c r="Q11" s="31">
        <v>0.5</v>
      </c>
      <c r="R11" s="21" t="s">
        <v>20</v>
      </c>
      <c r="S11" s="38"/>
      <c r="T11" s="6"/>
      <c r="U11" s="6"/>
      <c r="V11" s="6"/>
      <c r="W11" s="6"/>
      <c r="X11" s="4"/>
      <c r="Y11" s="4"/>
      <c r="Z11" s="6"/>
      <c r="AA11" s="6"/>
      <c r="AB11" s="5"/>
      <c r="AC11" s="5"/>
      <c r="AD11" s="5"/>
      <c r="AF11"/>
      <c r="AG11"/>
      <c r="AH11"/>
      <c r="AI11"/>
      <c r="AJ11"/>
      <c r="AK11"/>
      <c r="AL11"/>
      <c r="AM11"/>
      <c r="AN11"/>
      <c r="AO11"/>
    </row>
    <row r="12" spans="1:41" s="7" customFormat="1" x14ac:dyDescent="0.25">
      <c r="A12" s="5"/>
      <c r="B12" s="5"/>
      <c r="C12" s="5"/>
      <c r="D12" s="104" t="s">
        <v>98</v>
      </c>
      <c r="E12" s="105"/>
      <c r="F12" s="44">
        <f>ROUNDUP(((F7/575000)/4),0)</f>
        <v>2</v>
      </c>
      <c r="G12" s="38"/>
      <c r="H12" s="6"/>
      <c r="I12" s="104" t="s">
        <v>21</v>
      </c>
      <c r="J12" s="105"/>
      <c r="K12" s="47">
        <f>ROUNDUP(F25*0.1,0)</f>
        <v>1</v>
      </c>
      <c r="L12" s="46"/>
      <c r="M12" s="6"/>
      <c r="N12" s="6"/>
      <c r="O12" s="6"/>
      <c r="P12" s="13" t="s">
        <v>22</v>
      </c>
      <c r="Q12" s="31">
        <v>0.5</v>
      </c>
      <c r="R12" s="21" t="s">
        <v>20</v>
      </c>
      <c r="S12" s="38" t="s">
        <v>23</v>
      </c>
      <c r="T12" s="6"/>
      <c r="U12" s="6"/>
      <c r="V12" s="6"/>
      <c r="W12" s="6"/>
      <c r="X12" s="48"/>
      <c r="Y12" s="4"/>
      <c r="Z12" s="6"/>
      <c r="AA12" s="6"/>
      <c r="AB12" s="5"/>
      <c r="AC12" s="5"/>
      <c r="AD12" s="5"/>
      <c r="AF12"/>
      <c r="AG12"/>
      <c r="AH12"/>
      <c r="AI12"/>
      <c r="AJ12"/>
      <c r="AK12"/>
      <c r="AL12"/>
      <c r="AM12"/>
      <c r="AN12"/>
      <c r="AO12"/>
    </row>
    <row r="13" spans="1:41" s="7" customFormat="1" x14ac:dyDescent="0.25">
      <c r="A13" s="5"/>
      <c r="B13" s="5"/>
      <c r="C13" s="5"/>
      <c r="D13" s="104" t="s">
        <v>99</v>
      </c>
      <c r="E13" s="105"/>
      <c r="F13" s="31">
        <f>ROUNDUP(((F7/552960)/16),0)</f>
        <v>1</v>
      </c>
      <c r="G13" s="38"/>
      <c r="H13" s="6"/>
      <c r="I13" s="104"/>
      <c r="J13" s="105"/>
      <c r="K13" s="47"/>
      <c r="L13" s="46"/>
      <c r="M13" s="6"/>
      <c r="N13" s="6"/>
      <c r="O13" s="6"/>
      <c r="P13" s="13" t="s">
        <v>24</v>
      </c>
      <c r="Q13" s="31">
        <v>200</v>
      </c>
      <c r="R13" s="21"/>
      <c r="S13" s="22">
        <f>ROUNDDOWN(575000/(Q13*Q14),0)</f>
        <v>14</v>
      </c>
      <c r="T13" s="6"/>
      <c r="U13" s="6"/>
      <c r="V13" s="6"/>
      <c r="W13" s="6"/>
      <c r="X13" s="6"/>
      <c r="Y13" s="6"/>
      <c r="Z13" s="6"/>
      <c r="AA13" s="6"/>
      <c r="AB13" s="5"/>
      <c r="AC13" s="5"/>
      <c r="AD13" s="5"/>
      <c r="AF13"/>
      <c r="AG13"/>
      <c r="AH13"/>
      <c r="AI13"/>
      <c r="AJ13"/>
      <c r="AK13"/>
      <c r="AL13"/>
      <c r="AM13"/>
      <c r="AN13"/>
      <c r="AO13"/>
    </row>
    <row r="14" spans="1:41" s="7" customFormat="1" x14ac:dyDescent="0.25">
      <c r="A14" s="5"/>
      <c r="B14" s="5"/>
      <c r="C14" s="5"/>
      <c r="D14" s="104" t="s">
        <v>25</v>
      </c>
      <c r="E14" s="105"/>
      <c r="F14" s="31">
        <f>ROUNDUP(F9/S13,0)</f>
        <v>5</v>
      </c>
      <c r="G14" s="38"/>
      <c r="H14" s="6"/>
      <c r="I14" s="104" t="s">
        <v>26</v>
      </c>
      <c r="J14" s="105"/>
      <c r="K14" s="47">
        <f>ROUNDUP(F27*0.1,0)</f>
        <v>6</v>
      </c>
      <c r="L14" s="46"/>
      <c r="M14" s="6"/>
      <c r="N14" s="6"/>
      <c r="O14" s="6"/>
      <c r="P14" s="13" t="s">
        <v>27</v>
      </c>
      <c r="Q14" s="31">
        <v>200</v>
      </c>
      <c r="R14" s="21"/>
      <c r="S14" s="38"/>
      <c r="T14" s="6"/>
      <c r="U14" s="6"/>
      <c r="V14" s="6"/>
      <c r="W14" s="6"/>
      <c r="X14" s="6"/>
      <c r="Y14" s="6"/>
      <c r="Z14" s="6"/>
      <c r="AA14" s="6"/>
      <c r="AB14" s="5"/>
      <c r="AC14" s="5"/>
      <c r="AD14" s="5"/>
      <c r="AF14"/>
      <c r="AG14"/>
      <c r="AH14"/>
      <c r="AI14"/>
      <c r="AJ14"/>
      <c r="AK14"/>
      <c r="AL14"/>
      <c r="AM14"/>
      <c r="AN14"/>
      <c r="AO14"/>
    </row>
    <row r="15" spans="1:41" s="7" customFormat="1" x14ac:dyDescent="0.25">
      <c r="A15" s="5"/>
      <c r="B15" s="5"/>
      <c r="C15" s="5"/>
      <c r="D15" s="104" t="s">
        <v>28</v>
      </c>
      <c r="E15" s="105"/>
      <c r="F15" s="31">
        <f>F14</f>
        <v>5</v>
      </c>
      <c r="G15" s="38"/>
      <c r="H15" s="6"/>
      <c r="I15" s="104" t="s">
        <v>25</v>
      </c>
      <c r="J15" s="105"/>
      <c r="K15" s="47">
        <f>F15/2</f>
        <v>2.5</v>
      </c>
      <c r="L15" s="46"/>
      <c r="M15" s="6"/>
      <c r="N15" s="6"/>
      <c r="O15" s="6"/>
      <c r="P15" s="13" t="s">
        <v>29</v>
      </c>
      <c r="Q15" s="49">
        <v>0.61</v>
      </c>
      <c r="R15" s="21" t="s">
        <v>30</v>
      </c>
      <c r="S15" s="38" t="s">
        <v>31</v>
      </c>
      <c r="T15" s="6"/>
      <c r="U15" s="6"/>
      <c r="V15" s="6"/>
      <c r="W15" s="6"/>
      <c r="X15" s="6"/>
      <c r="Y15" s="6"/>
      <c r="Z15" s="6"/>
      <c r="AA15" s="6"/>
      <c r="AB15" s="5"/>
      <c r="AC15" s="5"/>
      <c r="AD15" s="5"/>
      <c r="AF15"/>
      <c r="AG15"/>
      <c r="AH15"/>
      <c r="AI15"/>
      <c r="AJ15"/>
      <c r="AK15"/>
      <c r="AL15"/>
      <c r="AM15"/>
      <c r="AN15"/>
      <c r="AO15"/>
    </row>
    <row r="16" spans="1:41" s="7" customFormat="1" x14ac:dyDescent="0.25">
      <c r="A16" s="5"/>
      <c r="B16" s="5"/>
      <c r="C16" s="5"/>
      <c r="D16" s="104" t="s">
        <v>32</v>
      </c>
      <c r="E16" s="105"/>
      <c r="F16" s="50">
        <f>(F9*Q15)/F25</f>
        <v>9.9124999999999996</v>
      </c>
      <c r="G16" s="22" t="s">
        <v>30</v>
      </c>
      <c r="H16" s="6"/>
      <c r="I16" s="104"/>
      <c r="J16" s="105"/>
      <c r="K16" s="47"/>
      <c r="L16" s="46"/>
      <c r="M16" s="6"/>
      <c r="N16" s="6"/>
      <c r="O16" s="6"/>
      <c r="P16" s="13" t="s">
        <v>33</v>
      </c>
      <c r="Q16" s="31">
        <v>0.36</v>
      </c>
      <c r="R16" s="21" t="s">
        <v>34</v>
      </c>
      <c r="S16" s="22">
        <v>20</v>
      </c>
      <c r="T16" s="6"/>
      <c r="U16" s="6"/>
      <c r="V16" s="6"/>
      <c r="W16" s="6"/>
      <c r="X16" s="6"/>
      <c r="Y16" s="6"/>
      <c r="Z16" s="6"/>
      <c r="AA16" s="6"/>
      <c r="AB16" s="5"/>
      <c r="AC16" s="5"/>
      <c r="AD16" s="5"/>
      <c r="AF16"/>
      <c r="AG16"/>
      <c r="AH16"/>
      <c r="AI16"/>
      <c r="AJ16"/>
      <c r="AK16"/>
      <c r="AL16"/>
      <c r="AM16"/>
      <c r="AN16"/>
      <c r="AO16"/>
    </row>
    <row r="17" spans="1:41" s="7" customFormat="1" x14ac:dyDescent="0.25">
      <c r="A17" s="5"/>
      <c r="B17" s="5"/>
      <c r="C17" s="5"/>
      <c r="D17" s="104" t="s">
        <v>35</v>
      </c>
      <c r="E17" s="105"/>
      <c r="F17" s="50">
        <f>(F9*Q16)/F25</f>
        <v>5.85</v>
      </c>
      <c r="G17" s="22" t="s">
        <v>34</v>
      </c>
      <c r="H17" s="6"/>
      <c r="I17" s="119" t="s">
        <v>100</v>
      </c>
      <c r="J17" s="120"/>
      <c r="K17" s="51">
        <f>ROUNDUP(F12*0.1,0)+1</f>
        <v>2</v>
      </c>
      <c r="L17" s="46"/>
      <c r="M17" s="6"/>
      <c r="N17" s="6"/>
      <c r="O17" s="6"/>
      <c r="P17" s="13" t="s">
        <v>36</v>
      </c>
      <c r="Q17" s="31">
        <v>7.5</v>
      </c>
      <c r="R17" s="21" t="s">
        <v>15</v>
      </c>
      <c r="S17" s="38"/>
      <c r="T17" s="6"/>
      <c r="U17" s="6"/>
      <c r="V17" s="6"/>
      <c r="W17" s="6"/>
      <c r="X17" s="6"/>
      <c r="Y17" s="6"/>
      <c r="Z17" s="6"/>
      <c r="AA17" s="6"/>
      <c r="AB17" s="5"/>
      <c r="AC17" s="5"/>
      <c r="AD17" s="5"/>
      <c r="AF17"/>
      <c r="AG17"/>
      <c r="AH17"/>
      <c r="AI17"/>
      <c r="AJ17"/>
      <c r="AK17"/>
      <c r="AL17"/>
      <c r="AM17"/>
      <c r="AN17"/>
      <c r="AO17"/>
    </row>
    <row r="18" spans="1:41" s="7" customFormat="1" x14ac:dyDescent="0.25">
      <c r="A18" s="5"/>
      <c r="B18" s="5"/>
      <c r="C18" s="5"/>
      <c r="D18" s="104" t="s">
        <v>37</v>
      </c>
      <c r="E18" s="105"/>
      <c r="F18" s="44">
        <f>(F9*Q15)+(K29*Q16)</f>
        <v>41.089999999999996</v>
      </c>
      <c r="G18" s="22" t="s">
        <v>30</v>
      </c>
      <c r="H18" s="6"/>
      <c r="I18" s="117"/>
      <c r="J18" s="117"/>
      <c r="K18" s="121"/>
      <c r="L18" s="121"/>
      <c r="M18" s="6"/>
      <c r="N18" s="6"/>
      <c r="O18" s="6"/>
      <c r="P18" s="13" t="s">
        <v>38</v>
      </c>
      <c r="Q18" s="31">
        <v>35</v>
      </c>
      <c r="R18" s="21" t="s">
        <v>15</v>
      </c>
      <c r="S18" s="38"/>
      <c r="T18" s="6"/>
      <c r="U18" s="6"/>
      <c r="V18" s="6"/>
      <c r="W18" s="6"/>
      <c r="X18" s="6"/>
      <c r="Y18" s="6"/>
      <c r="Z18" s="6"/>
      <c r="AA18" s="6"/>
      <c r="AB18" s="5"/>
      <c r="AC18" s="5"/>
      <c r="AD18" s="5"/>
      <c r="AF18"/>
      <c r="AG18"/>
      <c r="AH18"/>
      <c r="AI18"/>
      <c r="AJ18"/>
      <c r="AK18"/>
      <c r="AL18"/>
      <c r="AM18"/>
      <c r="AN18"/>
      <c r="AO18"/>
    </row>
    <row r="19" spans="1:41" s="7" customFormat="1" x14ac:dyDescent="0.25">
      <c r="A19" s="5"/>
      <c r="B19" s="5"/>
      <c r="C19" s="5"/>
      <c r="D19" s="104" t="s">
        <v>39</v>
      </c>
      <c r="E19" s="105"/>
      <c r="F19" s="44">
        <f>F9*Q17</f>
        <v>487.5</v>
      </c>
      <c r="G19" s="22" t="s">
        <v>15</v>
      </c>
      <c r="H19" s="6"/>
      <c r="I19" s="117"/>
      <c r="J19" s="117"/>
      <c r="K19" s="52"/>
      <c r="L19" s="6"/>
      <c r="M19" s="6"/>
      <c r="N19" s="6"/>
      <c r="O19" s="6"/>
      <c r="P19" s="53" t="s">
        <v>40</v>
      </c>
      <c r="Q19" s="54">
        <v>6</v>
      </c>
      <c r="R19" s="26"/>
      <c r="S19" s="55"/>
      <c r="T19" s="6"/>
      <c r="U19" s="6"/>
      <c r="V19" s="6"/>
      <c r="W19" s="6"/>
      <c r="X19" s="6"/>
      <c r="Y19" s="6"/>
      <c r="Z19" s="6"/>
      <c r="AA19" s="6"/>
      <c r="AB19" s="5"/>
      <c r="AC19" s="5"/>
      <c r="AD19" s="5"/>
      <c r="AF19"/>
      <c r="AG19"/>
      <c r="AH19"/>
      <c r="AI19"/>
      <c r="AJ19"/>
      <c r="AK19"/>
      <c r="AL19"/>
      <c r="AM19"/>
      <c r="AN19"/>
      <c r="AO19"/>
    </row>
    <row r="20" spans="1:41" s="7" customFormat="1" x14ac:dyDescent="0.25">
      <c r="A20" s="5"/>
      <c r="B20" s="5"/>
      <c r="C20" s="5"/>
      <c r="D20" s="104" t="s">
        <v>41</v>
      </c>
      <c r="E20" s="105"/>
      <c r="F20" s="50">
        <f>F9*1.1</f>
        <v>71.5</v>
      </c>
      <c r="G20" s="22" t="s">
        <v>15</v>
      </c>
      <c r="H20" s="6"/>
      <c r="I20" s="115" t="s">
        <v>42</v>
      </c>
      <c r="J20" s="118"/>
      <c r="K20" s="6"/>
      <c r="L20" s="6"/>
      <c r="M20" s="6"/>
      <c r="N20" s="6"/>
      <c r="O20" s="6"/>
      <c r="P20" s="117"/>
      <c r="Q20" s="117"/>
      <c r="R20" s="12"/>
      <c r="S20" s="6"/>
      <c r="T20" s="6"/>
      <c r="U20" s="6"/>
      <c r="V20" s="6"/>
      <c r="W20" s="6"/>
      <c r="X20" s="6"/>
      <c r="Y20" s="6"/>
      <c r="Z20" s="6"/>
      <c r="AA20" s="6"/>
      <c r="AB20" s="5"/>
      <c r="AC20" s="5"/>
      <c r="AD20" s="5"/>
      <c r="AF20"/>
      <c r="AG20"/>
      <c r="AH20"/>
      <c r="AI20"/>
      <c r="AJ20"/>
      <c r="AK20"/>
      <c r="AL20"/>
      <c r="AM20"/>
      <c r="AN20"/>
      <c r="AO20"/>
    </row>
    <row r="21" spans="1:41" s="7" customFormat="1" x14ac:dyDescent="0.25">
      <c r="A21" s="5"/>
      <c r="B21" s="5"/>
      <c r="C21" s="5"/>
      <c r="D21" s="104" t="s">
        <v>43</v>
      </c>
      <c r="E21" s="105"/>
      <c r="F21" s="44">
        <f>ROUNDUP(SUM(F19:F20),0)</f>
        <v>559</v>
      </c>
      <c r="G21" s="47" t="s">
        <v>15</v>
      </c>
      <c r="H21" s="6"/>
      <c r="I21" s="114"/>
      <c r="J21" s="100"/>
      <c r="K21" s="78"/>
      <c r="L21" s="6"/>
      <c r="M21" s="6"/>
      <c r="N21" s="6"/>
      <c r="O21" s="6"/>
      <c r="P21" s="115" t="s">
        <v>44</v>
      </c>
      <c r="Q21" s="116"/>
      <c r="R21" s="10"/>
      <c r="S21" s="41"/>
      <c r="T21" s="56"/>
      <c r="U21" s="6"/>
      <c r="V21" s="115" t="s">
        <v>45</v>
      </c>
      <c r="W21" s="116"/>
      <c r="X21" s="41"/>
      <c r="Y21" s="41"/>
      <c r="Z21" s="41"/>
      <c r="AA21" s="42"/>
      <c r="AB21" s="5"/>
      <c r="AC21" s="5"/>
      <c r="AD21" s="5"/>
      <c r="AF21"/>
      <c r="AG21"/>
      <c r="AH21"/>
      <c r="AI21"/>
      <c r="AJ21"/>
      <c r="AK21"/>
      <c r="AL21"/>
      <c r="AM21"/>
      <c r="AN21"/>
      <c r="AO21"/>
    </row>
    <row r="22" spans="1:41" s="7" customFormat="1" x14ac:dyDescent="0.25">
      <c r="A22" s="5"/>
      <c r="B22" s="5"/>
      <c r="C22" s="5"/>
      <c r="D22" s="104" t="s">
        <v>65</v>
      </c>
      <c r="E22" s="105"/>
      <c r="F22" s="44">
        <f>S24</f>
        <v>302</v>
      </c>
      <c r="G22" s="47" t="s">
        <v>15</v>
      </c>
      <c r="H22" s="6"/>
      <c r="I22" s="104" t="s">
        <v>18</v>
      </c>
      <c r="J22" s="105"/>
      <c r="K22" s="79">
        <f>K11+F26</f>
        <v>68</v>
      </c>
      <c r="L22" s="6"/>
      <c r="M22" s="6"/>
      <c r="N22" s="6"/>
      <c r="O22" s="6"/>
      <c r="P22" s="13"/>
      <c r="Q22" s="31"/>
      <c r="R22" s="31" t="s">
        <v>47</v>
      </c>
      <c r="S22" s="31" t="s">
        <v>48</v>
      </c>
      <c r="T22" s="57"/>
      <c r="U22" s="6"/>
      <c r="V22" s="13"/>
      <c r="W22" s="31"/>
      <c r="X22" s="21"/>
      <c r="Y22" s="21" t="s">
        <v>0</v>
      </c>
      <c r="Z22" s="21" t="s">
        <v>1</v>
      </c>
      <c r="AA22" s="22" t="s">
        <v>49</v>
      </c>
      <c r="AB22" s="5"/>
      <c r="AC22" s="5"/>
      <c r="AD22" s="5"/>
      <c r="AF22"/>
      <c r="AG22"/>
      <c r="AH22"/>
      <c r="AI22"/>
      <c r="AJ22"/>
      <c r="AK22"/>
      <c r="AL22"/>
      <c r="AM22"/>
      <c r="AN22"/>
      <c r="AO22"/>
    </row>
    <row r="23" spans="1:41" s="7" customFormat="1" x14ac:dyDescent="0.25">
      <c r="A23" s="5"/>
      <c r="B23" s="5"/>
      <c r="C23" s="5"/>
      <c r="D23" s="104" t="s">
        <v>50</v>
      </c>
      <c r="E23" s="105"/>
      <c r="F23" s="44">
        <f>(F21+F22)/F5</f>
        <v>132.46153846153845</v>
      </c>
      <c r="G23" s="22" t="s">
        <v>15</v>
      </c>
      <c r="H23" s="6"/>
      <c r="I23" s="104" t="s">
        <v>21</v>
      </c>
      <c r="J23" s="105"/>
      <c r="K23" s="79">
        <f>K12+F25</f>
        <v>5</v>
      </c>
      <c r="L23" s="6"/>
      <c r="M23" s="6"/>
      <c r="N23" s="6"/>
      <c r="O23" s="6"/>
      <c r="P23" s="13" t="s">
        <v>16</v>
      </c>
      <c r="Q23" s="31"/>
      <c r="R23" s="58">
        <f>F21</f>
        <v>559</v>
      </c>
      <c r="S23" s="58">
        <f>F21</f>
        <v>559</v>
      </c>
      <c r="T23" s="47" t="s">
        <v>15</v>
      </c>
      <c r="U23" s="6"/>
      <c r="V23" s="13" t="s">
        <v>51</v>
      </c>
      <c r="W23" s="31">
        <v>500</v>
      </c>
      <c r="X23" s="59" t="s">
        <v>15</v>
      </c>
      <c r="Y23" s="21">
        <v>1.1000000000000001</v>
      </c>
      <c r="Z23" s="21">
        <v>1.1000000000000001</v>
      </c>
      <c r="AA23" s="22">
        <v>1.8</v>
      </c>
      <c r="AB23" s="5"/>
      <c r="AC23" s="5"/>
      <c r="AD23" s="5"/>
      <c r="AF23"/>
      <c r="AG23"/>
      <c r="AH23"/>
      <c r="AI23"/>
      <c r="AJ23"/>
      <c r="AK23"/>
      <c r="AL23"/>
      <c r="AM23"/>
      <c r="AN23"/>
      <c r="AO23"/>
    </row>
    <row r="24" spans="1:41" s="7" customFormat="1" x14ac:dyDescent="0.25">
      <c r="A24" s="5"/>
      <c r="B24" s="5"/>
      <c r="C24" s="5"/>
      <c r="D24" s="104"/>
      <c r="E24" s="105"/>
      <c r="F24" s="44"/>
      <c r="G24" s="38"/>
      <c r="H24" s="6"/>
      <c r="I24" s="104"/>
      <c r="J24" s="105"/>
      <c r="K24" s="79"/>
      <c r="L24" s="6"/>
      <c r="M24" s="6"/>
      <c r="N24" s="6"/>
      <c r="O24" s="6"/>
      <c r="P24" s="13" t="s">
        <v>46</v>
      </c>
      <c r="Q24" s="31"/>
      <c r="R24" s="58">
        <f>K38</f>
        <v>28.5</v>
      </c>
      <c r="S24" s="58">
        <f>SUM(H42:H49)</f>
        <v>302</v>
      </c>
      <c r="T24" s="47" t="s">
        <v>15</v>
      </c>
      <c r="U24" s="6"/>
      <c r="V24" s="13" t="s">
        <v>52</v>
      </c>
      <c r="W24" s="31">
        <v>900</v>
      </c>
      <c r="X24" s="59" t="s">
        <v>15</v>
      </c>
      <c r="Y24" s="21">
        <v>1.9</v>
      </c>
      <c r="Z24" s="21">
        <v>1.8</v>
      </c>
      <c r="AA24" s="22">
        <v>4</v>
      </c>
      <c r="AB24" s="5"/>
      <c r="AC24" s="5"/>
      <c r="AD24" s="5"/>
      <c r="AF24"/>
      <c r="AG24"/>
      <c r="AH24"/>
      <c r="AI24"/>
      <c r="AJ24"/>
      <c r="AK24"/>
      <c r="AL24"/>
      <c r="AM24"/>
      <c r="AN24"/>
      <c r="AO24"/>
    </row>
    <row r="25" spans="1:41" s="7" customFormat="1" x14ac:dyDescent="0.25">
      <c r="A25" s="5"/>
      <c r="B25" s="5"/>
      <c r="C25" s="5"/>
      <c r="D25" s="104" t="s">
        <v>21</v>
      </c>
      <c r="E25" s="105"/>
      <c r="F25" s="44">
        <f>ROUNDUP(SUM(F4/(ROUNDDOWN(S16/H4,0))),0)</f>
        <v>4</v>
      </c>
      <c r="G25" s="38"/>
      <c r="H25" s="6"/>
      <c r="I25" s="104" t="s">
        <v>53</v>
      </c>
      <c r="J25" s="105"/>
      <c r="K25" s="79">
        <f>K14+F27</f>
        <v>66</v>
      </c>
      <c r="L25" s="6"/>
      <c r="M25" s="6"/>
      <c r="N25" s="6"/>
      <c r="O25" s="6"/>
      <c r="P25" s="88" t="s">
        <v>50</v>
      </c>
      <c r="Q25" s="89"/>
      <c r="R25" s="90">
        <f>R26/K44</f>
        <v>45.192307692307693</v>
      </c>
      <c r="S25" s="90">
        <f>(S23+S24)/F5</f>
        <v>132.46153846153845</v>
      </c>
      <c r="T25" s="91" t="s">
        <v>15</v>
      </c>
      <c r="U25" s="6"/>
      <c r="V25" s="13" t="s">
        <v>54</v>
      </c>
      <c r="W25" s="31">
        <v>1250</v>
      </c>
      <c r="X25" s="59" t="s">
        <v>15</v>
      </c>
      <c r="Y25" s="21"/>
      <c r="Z25" s="21">
        <v>1.9</v>
      </c>
      <c r="AA25" s="22">
        <v>4.2</v>
      </c>
      <c r="AB25" s="5"/>
      <c r="AC25" s="5"/>
      <c r="AD25" s="5"/>
      <c r="AF25"/>
      <c r="AG25"/>
      <c r="AH25"/>
      <c r="AI25"/>
      <c r="AJ25"/>
      <c r="AK25"/>
      <c r="AL25"/>
      <c r="AM25"/>
      <c r="AN25"/>
      <c r="AO25"/>
    </row>
    <row r="26" spans="1:41" s="7" customFormat="1" x14ac:dyDescent="0.25">
      <c r="A26" s="5"/>
      <c r="B26" s="5"/>
      <c r="C26" s="5"/>
      <c r="D26" s="104" t="s">
        <v>18</v>
      </c>
      <c r="E26" s="105"/>
      <c r="F26" s="44">
        <f>ROUNDUP(F9-F25,0)</f>
        <v>61</v>
      </c>
      <c r="G26" s="38"/>
      <c r="H26" s="6"/>
      <c r="I26" s="104" t="s">
        <v>25</v>
      </c>
      <c r="J26" s="105"/>
      <c r="K26" s="79">
        <f>K15+F14+F15</f>
        <v>12.5</v>
      </c>
      <c r="L26" s="6"/>
      <c r="M26" s="6"/>
      <c r="N26" s="6"/>
      <c r="O26" s="6"/>
      <c r="P26" s="13" t="s">
        <v>55</v>
      </c>
      <c r="Q26" s="31"/>
      <c r="R26" s="58">
        <f>R23+R24</f>
        <v>587.5</v>
      </c>
      <c r="S26" s="58">
        <f>S23+S24</f>
        <v>861</v>
      </c>
      <c r="T26" s="47" t="s">
        <v>15</v>
      </c>
      <c r="U26" s="6"/>
      <c r="V26" s="13" t="s">
        <v>56</v>
      </c>
      <c r="W26" s="31">
        <v>1300</v>
      </c>
      <c r="X26" s="59" t="s">
        <v>15</v>
      </c>
      <c r="Y26" s="21">
        <v>1.3</v>
      </c>
      <c r="Z26" s="21">
        <v>1.8</v>
      </c>
      <c r="AA26" s="22">
        <v>3.2</v>
      </c>
      <c r="AB26" s="5"/>
      <c r="AC26" s="5"/>
      <c r="AD26" s="5"/>
      <c r="AF26"/>
      <c r="AG26"/>
      <c r="AH26"/>
      <c r="AI26"/>
      <c r="AJ26"/>
      <c r="AK26"/>
      <c r="AL26"/>
      <c r="AM26"/>
      <c r="AN26"/>
      <c r="AO26"/>
    </row>
    <row r="27" spans="1:41" s="7" customFormat="1" x14ac:dyDescent="0.25">
      <c r="A27" s="5"/>
      <c r="B27" s="5"/>
      <c r="C27" s="5"/>
      <c r="D27" s="104" t="s">
        <v>53</v>
      </c>
      <c r="E27" s="105"/>
      <c r="F27" s="44">
        <f>ROUNDUP(F9-F15,0)</f>
        <v>60</v>
      </c>
      <c r="G27" s="38"/>
      <c r="H27" s="6"/>
      <c r="I27" s="108"/>
      <c r="J27" s="109"/>
      <c r="K27" s="79"/>
      <c r="L27" s="6"/>
      <c r="M27" s="6"/>
      <c r="N27" s="6"/>
      <c r="O27" s="6"/>
      <c r="P27" s="13" t="s">
        <v>96</v>
      </c>
      <c r="Q27" s="31"/>
      <c r="R27" s="58"/>
      <c r="S27" s="58">
        <f>I50*12.5</f>
        <v>525</v>
      </c>
      <c r="T27" s="47" t="s">
        <v>15</v>
      </c>
      <c r="U27" s="6"/>
      <c r="V27" s="13" t="s">
        <v>57</v>
      </c>
      <c r="W27" s="31">
        <v>2000</v>
      </c>
      <c r="X27" s="59" t="s">
        <v>15</v>
      </c>
      <c r="Y27" s="21">
        <v>1.9</v>
      </c>
      <c r="Z27" s="21">
        <v>2.2999999999999998</v>
      </c>
      <c r="AA27" s="22">
        <v>6.1</v>
      </c>
      <c r="AB27" s="5"/>
      <c r="AC27" s="5"/>
      <c r="AD27" s="5"/>
      <c r="AF27"/>
      <c r="AG27"/>
      <c r="AH27"/>
      <c r="AI27"/>
      <c r="AJ27"/>
      <c r="AK27"/>
      <c r="AL27"/>
      <c r="AM27"/>
      <c r="AN27"/>
      <c r="AO27"/>
    </row>
    <row r="28" spans="1:41" s="7" customFormat="1" x14ac:dyDescent="0.25">
      <c r="A28" s="5"/>
      <c r="B28" s="5"/>
      <c r="C28" s="5"/>
      <c r="D28" s="104"/>
      <c r="E28" s="105"/>
      <c r="F28" s="44"/>
      <c r="G28" s="38"/>
      <c r="H28" s="6"/>
      <c r="I28" s="108"/>
      <c r="J28" s="109"/>
      <c r="K28" s="79"/>
      <c r="L28" s="6"/>
      <c r="M28" s="6"/>
      <c r="N28" s="6"/>
      <c r="O28" s="6"/>
      <c r="P28" s="13" t="s">
        <v>14</v>
      </c>
      <c r="Q28" s="31"/>
      <c r="R28" s="58">
        <f>SUM(ROUNDUP(SUM(F9/Q19),0))*Q18</f>
        <v>385</v>
      </c>
      <c r="S28" s="58">
        <f>SUM(ROUNDUP(SUM(F9/Q19),0))*Q18</f>
        <v>385</v>
      </c>
      <c r="T28" s="22" t="s">
        <v>15</v>
      </c>
      <c r="U28" s="6"/>
      <c r="V28" s="13" t="s">
        <v>58</v>
      </c>
      <c r="W28" s="31">
        <v>4500</v>
      </c>
      <c r="X28" s="59" t="s">
        <v>15</v>
      </c>
      <c r="Y28" s="21">
        <v>2.4</v>
      </c>
      <c r="Z28" s="21">
        <v>2.4</v>
      </c>
      <c r="AA28" s="22">
        <v>6.5</v>
      </c>
      <c r="AB28" s="5"/>
      <c r="AC28" s="5"/>
      <c r="AD28" s="5"/>
      <c r="AF28"/>
      <c r="AG28"/>
      <c r="AH28"/>
      <c r="AI28"/>
      <c r="AJ28"/>
      <c r="AK28"/>
      <c r="AL28"/>
      <c r="AM28"/>
      <c r="AN28"/>
      <c r="AO28"/>
    </row>
    <row r="29" spans="1:41" s="7" customFormat="1" x14ac:dyDescent="0.25">
      <c r="A29" s="5"/>
      <c r="B29" s="5"/>
      <c r="C29" s="5"/>
      <c r="D29" s="104" t="s">
        <v>59</v>
      </c>
      <c r="E29" s="105"/>
      <c r="F29" s="106">
        <f>ROUNDUP(SUM(F12*1.1+(K17*1.1))/10,0)</f>
        <v>1</v>
      </c>
      <c r="G29" s="107"/>
      <c r="H29" s="6"/>
      <c r="I29" s="108" t="s">
        <v>100</v>
      </c>
      <c r="J29" s="109"/>
      <c r="K29" s="79">
        <f>K17+F12+L17</f>
        <v>4</v>
      </c>
      <c r="L29" s="6"/>
      <c r="M29" s="6"/>
      <c r="N29" s="6"/>
      <c r="O29" s="6"/>
      <c r="P29" s="53" t="s">
        <v>60</v>
      </c>
      <c r="Q29" s="54"/>
      <c r="R29" s="60">
        <f>SUM(R26:R28)</f>
        <v>972.5</v>
      </c>
      <c r="S29" s="60">
        <f>SUM(S26:S28)</f>
        <v>1771</v>
      </c>
      <c r="T29" s="51" t="s">
        <v>15</v>
      </c>
      <c r="U29" s="6"/>
      <c r="V29" s="53" t="s">
        <v>61</v>
      </c>
      <c r="W29" s="54">
        <v>15000</v>
      </c>
      <c r="X29" s="61" t="s">
        <v>15</v>
      </c>
      <c r="Y29" s="26">
        <v>2.4</v>
      </c>
      <c r="Z29" s="26">
        <v>2.4</v>
      </c>
      <c r="AA29" s="27">
        <v>7.5</v>
      </c>
      <c r="AB29" s="5"/>
      <c r="AC29" s="5"/>
      <c r="AD29" s="5"/>
      <c r="AF29"/>
      <c r="AG29"/>
      <c r="AH29"/>
      <c r="AI29"/>
      <c r="AJ29"/>
      <c r="AK29"/>
      <c r="AL29"/>
      <c r="AM29"/>
      <c r="AN29"/>
      <c r="AO29"/>
    </row>
    <row r="30" spans="1:41" s="7" customFormat="1" x14ac:dyDescent="0.25">
      <c r="A30" s="5"/>
      <c r="B30" s="5"/>
      <c r="C30" s="5"/>
      <c r="D30" s="104" t="s">
        <v>62</v>
      </c>
      <c r="E30" s="105"/>
      <c r="F30" s="110">
        <f>F25+F29</f>
        <v>5</v>
      </c>
      <c r="G30" s="111"/>
      <c r="H30" s="6"/>
      <c r="I30" s="112" t="s">
        <v>63</v>
      </c>
      <c r="J30" s="113"/>
      <c r="K30" s="80">
        <f>F29</f>
        <v>1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5"/>
      <c r="AC30" s="5"/>
      <c r="AD30" s="5"/>
      <c r="AF30"/>
      <c r="AG30"/>
      <c r="AH30"/>
      <c r="AI30"/>
      <c r="AJ30"/>
      <c r="AK30"/>
      <c r="AL30"/>
      <c r="AM30"/>
      <c r="AN30"/>
      <c r="AO30"/>
    </row>
    <row r="31" spans="1:41" s="7" customFormat="1" x14ac:dyDescent="0.25">
      <c r="A31" s="5"/>
      <c r="B31" s="5"/>
      <c r="C31" s="5"/>
      <c r="D31" s="62"/>
      <c r="E31" s="59"/>
      <c r="F31" s="44"/>
      <c r="G31" s="38"/>
      <c r="H31" s="6"/>
      <c r="I31" s="3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5"/>
      <c r="AC31" s="5"/>
      <c r="AD31" s="5"/>
      <c r="AF31"/>
      <c r="AG31"/>
      <c r="AH31"/>
      <c r="AI31"/>
      <c r="AJ31"/>
      <c r="AK31"/>
      <c r="AL31"/>
      <c r="AM31"/>
      <c r="AN31"/>
      <c r="AO31"/>
    </row>
    <row r="32" spans="1:41" s="7" customFormat="1" x14ac:dyDescent="0.25">
      <c r="A32" s="5"/>
      <c r="B32" s="5"/>
      <c r="C32" s="5"/>
      <c r="D32" s="63"/>
      <c r="E32" s="64"/>
      <c r="F32" s="100"/>
      <c r="G32" s="100"/>
      <c r="H32" s="10"/>
      <c r="I32" s="10"/>
      <c r="J32" s="10"/>
      <c r="K32" s="101"/>
      <c r="L32" s="101"/>
      <c r="M32" s="10"/>
      <c r="N32" s="11"/>
      <c r="O32" s="6"/>
      <c r="P32" s="65" t="s">
        <v>64</v>
      </c>
      <c r="Q32" s="10"/>
      <c r="R32" s="10"/>
      <c r="S32" s="41"/>
      <c r="T32" s="41"/>
      <c r="U32" s="42"/>
      <c r="V32" s="6"/>
      <c r="W32" s="6"/>
      <c r="X32" s="6"/>
      <c r="Y32" s="6"/>
      <c r="Z32" s="6"/>
      <c r="AA32" s="6"/>
      <c r="AB32" s="5"/>
      <c r="AC32" s="5"/>
      <c r="AD32" s="5"/>
      <c r="AF32"/>
      <c r="AG32"/>
      <c r="AH32"/>
      <c r="AI32"/>
      <c r="AJ32"/>
      <c r="AK32"/>
      <c r="AL32"/>
      <c r="AM32"/>
      <c r="AN32"/>
      <c r="AO32"/>
    </row>
    <row r="33" spans="1:41" s="7" customFormat="1" ht="18.75" x14ac:dyDescent="0.3">
      <c r="A33" s="5"/>
      <c r="B33" s="5"/>
      <c r="C33" s="5"/>
      <c r="D33" s="63"/>
      <c r="E33" s="103" t="s">
        <v>65</v>
      </c>
      <c r="F33" s="103"/>
      <c r="G33" s="103"/>
      <c r="H33" s="103"/>
      <c r="I33" s="84"/>
      <c r="J33" s="103" t="s">
        <v>47</v>
      </c>
      <c r="K33" s="103"/>
      <c r="L33" s="103"/>
      <c r="M33" s="103"/>
      <c r="N33" s="22"/>
      <c r="O33" s="6"/>
      <c r="P33" s="13"/>
      <c r="Q33" s="31"/>
      <c r="R33" s="31" t="s">
        <v>66</v>
      </c>
      <c r="S33" s="31" t="s">
        <v>67</v>
      </c>
      <c r="T33" s="31" t="s">
        <v>68</v>
      </c>
      <c r="U33" s="38"/>
      <c r="V33" s="12"/>
      <c r="W33" s="6"/>
      <c r="X33" s="6"/>
      <c r="Y33" s="6"/>
      <c r="Z33" s="6"/>
      <c r="AA33" s="6"/>
      <c r="AB33" s="5"/>
      <c r="AC33" s="5"/>
      <c r="AD33" s="5"/>
      <c r="AF33"/>
      <c r="AG33"/>
      <c r="AH33"/>
      <c r="AI33"/>
      <c r="AJ33"/>
      <c r="AK33"/>
      <c r="AL33"/>
      <c r="AM33"/>
      <c r="AN33"/>
      <c r="AO33"/>
    </row>
    <row r="34" spans="1:41" s="7" customFormat="1" x14ac:dyDescent="0.25">
      <c r="A34" s="5"/>
      <c r="B34" s="5"/>
      <c r="C34" s="5"/>
      <c r="D34" s="63"/>
      <c r="E34" s="66"/>
      <c r="F34" s="10" t="s">
        <v>0</v>
      </c>
      <c r="G34" s="10"/>
      <c r="H34" s="11" t="s">
        <v>1</v>
      </c>
      <c r="I34" s="21"/>
      <c r="J34" s="67"/>
      <c r="K34" s="10" t="s">
        <v>0</v>
      </c>
      <c r="L34" s="10"/>
      <c r="M34" s="11" t="s">
        <v>1</v>
      </c>
      <c r="N34" s="22"/>
      <c r="O34" s="6"/>
      <c r="P34" s="13" t="s">
        <v>70</v>
      </c>
      <c r="Q34" s="31"/>
      <c r="R34" s="21"/>
      <c r="S34" s="21">
        <v>0.5</v>
      </c>
      <c r="T34" s="21">
        <v>7</v>
      </c>
      <c r="U34" s="22" t="s">
        <v>15</v>
      </c>
      <c r="V34" s="12"/>
      <c r="W34" s="6"/>
      <c r="X34" s="6"/>
      <c r="Y34" s="6"/>
      <c r="Z34" s="6"/>
      <c r="AA34" s="6"/>
      <c r="AB34" s="5"/>
      <c r="AC34" s="5"/>
      <c r="AD34" s="5"/>
      <c r="AF34"/>
      <c r="AG34"/>
      <c r="AH34"/>
      <c r="AI34"/>
      <c r="AJ34"/>
      <c r="AK34"/>
      <c r="AL34"/>
      <c r="AM34"/>
      <c r="AN34"/>
      <c r="AO34"/>
    </row>
    <row r="35" spans="1:41" s="7" customFormat="1" x14ac:dyDescent="0.25">
      <c r="A35" s="5"/>
      <c r="B35" s="5"/>
      <c r="C35" s="5"/>
      <c r="D35" s="63"/>
      <c r="E35" s="63"/>
      <c r="F35" s="21">
        <f>F4</f>
        <v>13</v>
      </c>
      <c r="G35" s="21" t="s">
        <v>3</v>
      </c>
      <c r="H35" s="22">
        <f>H4</f>
        <v>5</v>
      </c>
      <c r="I35" s="21"/>
      <c r="J35" s="20"/>
      <c r="K35" s="21">
        <f>F4</f>
        <v>13</v>
      </c>
      <c r="L35" s="21" t="s">
        <v>3</v>
      </c>
      <c r="M35" s="22">
        <f>H4</f>
        <v>5</v>
      </c>
      <c r="N35" s="22"/>
      <c r="O35" s="6"/>
      <c r="P35" s="13" t="s">
        <v>74</v>
      </c>
      <c r="Q35" s="31"/>
      <c r="R35" s="21"/>
      <c r="S35" s="21">
        <v>1</v>
      </c>
      <c r="T35" s="21">
        <v>13</v>
      </c>
      <c r="U35" s="22" t="s">
        <v>15</v>
      </c>
      <c r="V35" s="12"/>
      <c r="W35" s="6"/>
      <c r="X35" s="6"/>
      <c r="Y35" s="6"/>
      <c r="Z35" s="6"/>
      <c r="AA35" s="6"/>
      <c r="AB35" s="5"/>
      <c r="AC35" s="5"/>
      <c r="AD35" s="5"/>
      <c r="AF35"/>
      <c r="AG35"/>
      <c r="AH35"/>
      <c r="AI35"/>
      <c r="AJ35"/>
      <c r="AK35"/>
      <c r="AL35"/>
      <c r="AM35"/>
      <c r="AN35"/>
      <c r="AO35"/>
    </row>
    <row r="36" spans="1:41" s="7" customFormat="1" x14ac:dyDescent="0.25">
      <c r="A36" s="5"/>
      <c r="B36" s="5"/>
      <c r="C36" s="5"/>
      <c r="D36" s="63"/>
      <c r="E36" s="62" t="s">
        <v>69</v>
      </c>
      <c r="F36" s="21">
        <f>F5</f>
        <v>6.5</v>
      </c>
      <c r="G36" s="21" t="s">
        <v>3</v>
      </c>
      <c r="H36" s="22">
        <f>H5</f>
        <v>2.5</v>
      </c>
      <c r="I36" s="21"/>
      <c r="J36" s="62" t="s">
        <v>69</v>
      </c>
      <c r="K36" s="21">
        <f>K35*0.5</f>
        <v>6.5</v>
      </c>
      <c r="L36" s="21" t="s">
        <v>3</v>
      </c>
      <c r="M36" s="22">
        <f>M35*0.5</f>
        <v>2.5</v>
      </c>
      <c r="N36" s="22"/>
      <c r="O36" s="6"/>
      <c r="P36" s="13" t="s">
        <v>75</v>
      </c>
      <c r="Q36" s="31"/>
      <c r="R36" s="21"/>
      <c r="S36" s="21"/>
      <c r="T36" s="21">
        <v>11</v>
      </c>
      <c r="U36" s="22" t="s">
        <v>15</v>
      </c>
      <c r="V36" s="12"/>
      <c r="W36" s="6"/>
      <c r="X36" s="6"/>
      <c r="Y36" s="6"/>
      <c r="Z36" s="6"/>
      <c r="AA36" s="6"/>
      <c r="AB36" s="5"/>
      <c r="AC36" s="5"/>
      <c r="AD36" s="5"/>
      <c r="AF36"/>
      <c r="AG36"/>
      <c r="AH36"/>
      <c r="AI36"/>
      <c r="AJ36"/>
      <c r="AK36"/>
      <c r="AL36"/>
      <c r="AM36"/>
      <c r="AN36"/>
      <c r="AO36"/>
    </row>
    <row r="37" spans="1:41" s="7" customFormat="1" x14ac:dyDescent="0.25">
      <c r="A37" s="5"/>
      <c r="B37" s="5"/>
      <c r="C37" s="5"/>
      <c r="D37" s="63"/>
      <c r="E37" s="62" t="s">
        <v>71</v>
      </c>
      <c r="F37" s="21">
        <f>F36</f>
        <v>6.5</v>
      </c>
      <c r="G37" s="21" t="s">
        <v>3</v>
      </c>
      <c r="H37" s="22">
        <f>G46</f>
        <v>2</v>
      </c>
      <c r="I37" s="21"/>
      <c r="J37" s="62" t="s">
        <v>72</v>
      </c>
      <c r="K37" s="21">
        <f>K36</f>
        <v>6.5</v>
      </c>
      <c r="L37" s="21" t="s">
        <v>3</v>
      </c>
      <c r="M37" s="22" t="s">
        <v>73</v>
      </c>
      <c r="N37" s="22"/>
      <c r="O37" s="6"/>
      <c r="P37" s="62" t="s">
        <v>87</v>
      </c>
      <c r="Q37" s="31"/>
      <c r="R37" s="21">
        <v>1</v>
      </c>
      <c r="S37" s="21"/>
      <c r="T37" s="21">
        <v>5.5</v>
      </c>
      <c r="U37" s="22" t="s">
        <v>15</v>
      </c>
      <c r="V37" s="12"/>
      <c r="W37" s="6"/>
      <c r="X37" s="6"/>
      <c r="Y37" s="6"/>
      <c r="Z37" s="6"/>
      <c r="AA37" s="6"/>
      <c r="AB37" s="5"/>
      <c r="AC37" s="5"/>
      <c r="AD37" s="5"/>
      <c r="AF37"/>
      <c r="AG37"/>
      <c r="AH37"/>
      <c r="AI37"/>
      <c r="AJ37"/>
      <c r="AK37"/>
      <c r="AL37"/>
      <c r="AM37"/>
      <c r="AN37"/>
      <c r="AO37"/>
    </row>
    <row r="38" spans="1:41" s="7" customFormat="1" x14ac:dyDescent="0.25">
      <c r="A38" s="5"/>
      <c r="B38" s="5"/>
      <c r="C38" s="5"/>
      <c r="D38" s="63"/>
      <c r="E38" s="68" t="s">
        <v>2</v>
      </c>
      <c r="F38" s="26">
        <f>F4</f>
        <v>13</v>
      </c>
      <c r="G38" s="26"/>
      <c r="H38" s="27">
        <f>H4</f>
        <v>5</v>
      </c>
      <c r="I38" s="21"/>
      <c r="J38" s="68" t="s">
        <v>68</v>
      </c>
      <c r="K38" s="26">
        <f>M46</f>
        <v>28.5</v>
      </c>
      <c r="L38" s="26" t="s">
        <v>15</v>
      </c>
      <c r="M38" s="27"/>
      <c r="N38" s="22"/>
      <c r="O38" s="6"/>
      <c r="P38" s="13" t="s">
        <v>78</v>
      </c>
      <c r="Q38" s="31"/>
      <c r="R38" s="21"/>
      <c r="S38" s="21"/>
      <c r="T38" s="21">
        <v>1.5</v>
      </c>
      <c r="U38" s="22" t="s">
        <v>15</v>
      </c>
      <c r="V38" s="12"/>
      <c r="W38" s="6"/>
      <c r="X38" s="6"/>
      <c r="Y38" s="6"/>
      <c r="Z38" s="6"/>
      <c r="AA38" s="6"/>
      <c r="AB38" s="5"/>
      <c r="AC38" s="5"/>
      <c r="AD38" s="5"/>
      <c r="AF38"/>
      <c r="AG38"/>
      <c r="AH38"/>
      <c r="AI38"/>
      <c r="AJ38"/>
      <c r="AK38"/>
      <c r="AL38"/>
      <c r="AM38"/>
      <c r="AN38"/>
      <c r="AO38"/>
    </row>
    <row r="39" spans="1:41" s="7" customFormat="1" x14ac:dyDescent="0.25">
      <c r="A39" s="5"/>
      <c r="B39" s="5"/>
      <c r="C39" s="5"/>
      <c r="D39" s="63"/>
      <c r="E39" s="59" t="s">
        <v>65</v>
      </c>
      <c r="F39" s="21"/>
      <c r="G39" s="21"/>
      <c r="H39" s="21"/>
      <c r="I39" s="21"/>
      <c r="J39" s="59"/>
      <c r="K39" s="21"/>
      <c r="L39" s="21"/>
      <c r="M39" s="21"/>
      <c r="N39" s="22"/>
      <c r="O39" s="6"/>
      <c r="P39" s="13" t="s">
        <v>92</v>
      </c>
      <c r="Q39" s="31"/>
      <c r="R39" s="21"/>
      <c r="S39" s="21"/>
      <c r="T39" s="21">
        <v>3</v>
      </c>
      <c r="U39" s="22" t="s">
        <v>15</v>
      </c>
      <c r="V39" s="12"/>
      <c r="W39" s="6"/>
      <c r="X39" s="6"/>
      <c r="Y39" s="6"/>
      <c r="Z39" s="6"/>
      <c r="AA39" s="6"/>
      <c r="AB39" s="5"/>
      <c r="AC39" s="5"/>
      <c r="AD39" s="5"/>
      <c r="AF39"/>
      <c r="AG39"/>
      <c r="AH39"/>
      <c r="AI39"/>
      <c r="AJ39"/>
      <c r="AK39"/>
      <c r="AL39"/>
      <c r="AM39"/>
      <c r="AN39"/>
      <c r="AO39"/>
    </row>
    <row r="40" spans="1:41" s="7" customFormat="1" x14ac:dyDescent="0.25">
      <c r="A40" s="5"/>
      <c r="B40" s="5"/>
      <c r="C40" s="5"/>
      <c r="D40" s="63"/>
      <c r="E40" s="59" t="s">
        <v>76</v>
      </c>
      <c r="F40" s="21" t="s">
        <v>77</v>
      </c>
      <c r="G40" s="21" t="s">
        <v>8</v>
      </c>
      <c r="H40" s="21" t="s">
        <v>68</v>
      </c>
      <c r="I40" s="21"/>
      <c r="J40" s="59" t="s">
        <v>76</v>
      </c>
      <c r="K40" s="21" t="s">
        <v>77</v>
      </c>
      <c r="L40" s="21" t="s">
        <v>8</v>
      </c>
      <c r="M40" s="21" t="s">
        <v>68</v>
      </c>
      <c r="N40" s="22"/>
      <c r="O40" s="6"/>
      <c r="P40" s="13" t="s">
        <v>81</v>
      </c>
      <c r="Q40" s="31"/>
      <c r="R40" s="21"/>
      <c r="S40" s="21"/>
      <c r="T40" s="21">
        <v>4</v>
      </c>
      <c r="U40" s="22" t="s">
        <v>15</v>
      </c>
      <c r="V40" s="12"/>
      <c r="W40" s="6"/>
      <c r="X40" s="6"/>
      <c r="Y40" s="6"/>
      <c r="Z40" s="6"/>
      <c r="AA40" s="6"/>
      <c r="AB40" s="5"/>
      <c r="AC40" s="5"/>
      <c r="AD40" s="5"/>
      <c r="AF40"/>
      <c r="AG40"/>
      <c r="AH40"/>
      <c r="AI40"/>
      <c r="AJ40"/>
      <c r="AK40"/>
      <c r="AL40"/>
      <c r="AM40"/>
      <c r="AN40"/>
      <c r="AO40"/>
    </row>
    <row r="41" spans="1:41" s="7" customFormat="1" x14ac:dyDescent="0.25">
      <c r="A41" s="5"/>
      <c r="B41" s="5"/>
      <c r="C41" s="5"/>
      <c r="D41" s="63"/>
      <c r="E41" s="59"/>
      <c r="F41" s="59"/>
      <c r="G41" s="21"/>
      <c r="H41" s="21"/>
      <c r="I41" s="21"/>
      <c r="J41" s="59"/>
      <c r="K41" s="59"/>
      <c r="L41" s="21"/>
      <c r="M41" s="21"/>
      <c r="N41" s="22"/>
      <c r="O41" s="6"/>
      <c r="P41" s="13" t="s">
        <v>86</v>
      </c>
      <c r="Q41" s="31"/>
      <c r="R41" s="21"/>
      <c r="S41" s="21">
        <v>0.5</v>
      </c>
      <c r="T41" s="21">
        <v>3.5</v>
      </c>
      <c r="U41" s="22" t="s">
        <v>15</v>
      </c>
      <c r="V41" s="12"/>
      <c r="W41" s="6"/>
      <c r="X41" s="6"/>
      <c r="Y41" s="6"/>
      <c r="Z41" s="6"/>
      <c r="AA41" s="6"/>
      <c r="AB41" s="5"/>
      <c r="AC41" s="5"/>
      <c r="AD41" s="5"/>
      <c r="AF41"/>
      <c r="AG41"/>
      <c r="AH41"/>
      <c r="AI41"/>
      <c r="AJ41"/>
      <c r="AK41"/>
      <c r="AL41"/>
      <c r="AM41"/>
      <c r="AN41"/>
      <c r="AO41"/>
    </row>
    <row r="42" spans="1:41" s="7" customFormat="1" x14ac:dyDescent="0.25">
      <c r="A42" s="5"/>
      <c r="B42" s="5"/>
      <c r="C42" s="5"/>
      <c r="D42" s="63"/>
      <c r="E42" s="59" t="s">
        <v>79</v>
      </c>
      <c r="F42" s="69">
        <f>SUM(F5-F43)/0.5</f>
        <v>1</v>
      </c>
      <c r="G42" s="21">
        <f>F42*S34</f>
        <v>0.5</v>
      </c>
      <c r="H42" s="21">
        <f>F42*T34</f>
        <v>7</v>
      </c>
      <c r="I42" s="21"/>
      <c r="J42" s="59" t="s">
        <v>80</v>
      </c>
      <c r="K42" s="69">
        <f>SUM(F5-K43)/0.5</f>
        <v>1</v>
      </c>
      <c r="L42" s="21">
        <f>K42*S41</f>
        <v>0.5</v>
      </c>
      <c r="M42" s="21">
        <f>K42*T42</f>
        <v>7.5</v>
      </c>
      <c r="N42" s="22"/>
      <c r="O42" s="6"/>
      <c r="P42" s="53" t="s">
        <v>84</v>
      </c>
      <c r="Q42" s="54"/>
      <c r="R42" s="26"/>
      <c r="S42" s="26">
        <v>1</v>
      </c>
      <c r="T42" s="26">
        <v>7.5</v>
      </c>
      <c r="U42" s="27" t="s">
        <v>15</v>
      </c>
      <c r="V42" s="12"/>
      <c r="W42" s="6"/>
      <c r="X42" s="6"/>
      <c r="Y42" s="6"/>
      <c r="Z42" s="6"/>
      <c r="AA42" s="6"/>
      <c r="AB42" s="5"/>
      <c r="AC42" s="5"/>
      <c r="AD42" s="5"/>
      <c r="AF42"/>
      <c r="AG42"/>
      <c r="AH42"/>
      <c r="AI42"/>
      <c r="AJ42"/>
      <c r="AK42"/>
      <c r="AL42"/>
      <c r="AM42"/>
      <c r="AN42"/>
      <c r="AO42"/>
    </row>
    <row r="43" spans="1:41" s="7" customFormat="1" x14ac:dyDescent="0.25">
      <c r="A43" s="5"/>
      <c r="B43" s="5"/>
      <c r="C43" s="5"/>
      <c r="D43" s="63"/>
      <c r="E43" s="59" t="s">
        <v>82</v>
      </c>
      <c r="F43" s="70">
        <f>ROUNDDOWN(F5,0)</f>
        <v>6</v>
      </c>
      <c r="G43" s="21">
        <f>F43*S35</f>
        <v>6</v>
      </c>
      <c r="H43" s="21">
        <f>F43*T35</f>
        <v>78</v>
      </c>
      <c r="I43" s="59"/>
      <c r="J43" s="59" t="s">
        <v>83</v>
      </c>
      <c r="K43" s="70">
        <f>ROUNDDOWN(F5,0)</f>
        <v>6</v>
      </c>
      <c r="L43" s="21">
        <f>K43*S42</f>
        <v>6</v>
      </c>
      <c r="M43" s="21">
        <f>K43*T41</f>
        <v>21</v>
      </c>
      <c r="N43" s="22"/>
      <c r="O43" s="6"/>
      <c r="P43" s="34"/>
      <c r="Q43" s="34"/>
      <c r="R43" s="34"/>
      <c r="S43" s="34"/>
      <c r="T43" s="34"/>
      <c r="U43" s="34"/>
      <c r="V43" s="12"/>
      <c r="W43" s="6"/>
      <c r="X43" s="6"/>
      <c r="Y43" s="6"/>
      <c r="Z43" s="6"/>
      <c r="AA43" s="6"/>
      <c r="AB43" s="5"/>
      <c r="AC43" s="5"/>
      <c r="AD43" s="5"/>
      <c r="AF43"/>
      <c r="AG43"/>
      <c r="AH43"/>
      <c r="AI43"/>
      <c r="AJ43"/>
      <c r="AK43"/>
      <c r="AL43"/>
      <c r="AM43"/>
      <c r="AN43"/>
      <c r="AO43"/>
    </row>
    <row r="44" spans="1:41" s="7" customFormat="1" x14ac:dyDescent="0.25">
      <c r="A44" s="5"/>
      <c r="B44" s="5"/>
      <c r="C44" s="5"/>
      <c r="D44" s="63"/>
      <c r="E44" s="59"/>
      <c r="F44" s="21"/>
      <c r="G44" s="21"/>
      <c r="H44" s="21"/>
      <c r="I44" s="21"/>
      <c r="J44" s="59" t="s">
        <v>85</v>
      </c>
      <c r="K44" s="21">
        <f>K37/0.5</f>
        <v>13</v>
      </c>
      <c r="L44" s="21"/>
      <c r="M44" s="21"/>
      <c r="N44" s="22"/>
      <c r="O44" s="6"/>
      <c r="P44" s="102" t="s">
        <v>89</v>
      </c>
      <c r="Q44" s="102"/>
      <c r="R44" s="6"/>
      <c r="S44" s="6"/>
      <c r="T44" s="12"/>
      <c r="U44" s="6"/>
      <c r="V44" s="12"/>
      <c r="W44" s="6"/>
      <c r="X44" s="6"/>
      <c r="Y44" s="6"/>
      <c r="Z44" s="6"/>
      <c r="AA44" s="6"/>
      <c r="AB44" s="5"/>
      <c r="AC44" s="5"/>
      <c r="AD44" s="5"/>
      <c r="AF44"/>
      <c r="AG44"/>
      <c r="AH44"/>
      <c r="AI44"/>
      <c r="AJ44"/>
      <c r="AK44"/>
      <c r="AL44"/>
      <c r="AM44"/>
      <c r="AN44"/>
      <c r="AO44"/>
    </row>
    <row r="45" spans="1:41" s="7" customFormat="1" x14ac:dyDescent="0.25">
      <c r="A45" s="5"/>
      <c r="B45" s="5"/>
      <c r="C45" s="5"/>
      <c r="D45" s="63"/>
      <c r="E45" s="59" t="s">
        <v>75</v>
      </c>
      <c r="F45" s="69">
        <f>ROUNDDOWN(SUM(F42*0.5)+(F43+1),0)</f>
        <v>7</v>
      </c>
      <c r="G45" s="21"/>
      <c r="H45" s="21">
        <f>F45*T36</f>
        <v>77</v>
      </c>
      <c r="I45" s="21"/>
      <c r="J45" s="59"/>
      <c r="K45" s="21"/>
      <c r="L45" s="21"/>
      <c r="M45" s="21"/>
      <c r="N45" s="22"/>
      <c r="O45" s="6"/>
      <c r="P45" s="71" t="s">
        <v>90</v>
      </c>
      <c r="Q45" s="71" t="s">
        <v>91</v>
      </c>
      <c r="R45" s="6"/>
      <c r="S45" s="6"/>
      <c r="T45" s="12"/>
      <c r="U45" s="6"/>
      <c r="V45" s="72"/>
      <c r="W45" s="6"/>
      <c r="X45" s="6"/>
      <c r="Y45" s="6"/>
      <c r="Z45" s="6"/>
      <c r="AA45" s="6"/>
      <c r="AB45" s="5"/>
      <c r="AC45" s="5"/>
      <c r="AD45" s="5"/>
      <c r="AF45"/>
      <c r="AG45"/>
      <c r="AH45"/>
      <c r="AI45"/>
      <c r="AJ45"/>
      <c r="AK45"/>
      <c r="AL45"/>
      <c r="AM45"/>
      <c r="AN45"/>
      <c r="AO45"/>
    </row>
    <row r="46" spans="1:41" s="7" customFormat="1" x14ac:dyDescent="0.25">
      <c r="A46" s="5"/>
      <c r="B46" s="5"/>
      <c r="C46" s="5"/>
      <c r="D46" s="63"/>
      <c r="E46" s="59" t="s">
        <v>87</v>
      </c>
      <c r="F46" s="73">
        <f>SUM(F45*(ROUNDDOWN(SUM(H5),0)))</f>
        <v>14</v>
      </c>
      <c r="G46" s="21">
        <f>(R37*F46)/F45</f>
        <v>2</v>
      </c>
      <c r="H46" s="21">
        <f>F46*T37</f>
        <v>77</v>
      </c>
      <c r="I46" s="21"/>
      <c r="J46" s="59" t="s">
        <v>88</v>
      </c>
      <c r="K46" s="21">
        <f>SUM(K42:K43)</f>
        <v>7</v>
      </c>
      <c r="L46" s="21">
        <f>SUM(L41:L45)</f>
        <v>6.5</v>
      </c>
      <c r="M46" s="21">
        <f>SUM(M41:M45)</f>
        <v>28.5</v>
      </c>
      <c r="N46" s="22" t="s">
        <v>15</v>
      </c>
      <c r="O46" s="6"/>
      <c r="P46" s="71">
        <v>0</v>
      </c>
      <c r="Q46" s="71">
        <v>0</v>
      </c>
      <c r="R46" s="6"/>
      <c r="S46" s="6"/>
      <c r="T46" s="12"/>
      <c r="U46" s="6"/>
      <c r="V46" s="6"/>
      <c r="W46" s="6"/>
      <c r="X46" s="6"/>
      <c r="Y46" s="6"/>
      <c r="Z46" s="6"/>
      <c r="AA46" s="6"/>
      <c r="AB46" s="5"/>
      <c r="AC46" s="5"/>
      <c r="AD46" s="5"/>
      <c r="AF46"/>
      <c r="AG46"/>
      <c r="AH46"/>
      <c r="AI46"/>
      <c r="AJ46"/>
      <c r="AK46"/>
      <c r="AL46"/>
      <c r="AM46"/>
      <c r="AN46"/>
      <c r="AO46"/>
    </row>
    <row r="47" spans="1:41" s="7" customFormat="1" x14ac:dyDescent="0.25">
      <c r="A47" s="5"/>
      <c r="B47" s="5"/>
      <c r="C47" s="5"/>
      <c r="D47" s="63"/>
      <c r="E47" s="59" t="s">
        <v>81</v>
      </c>
      <c r="F47" s="73">
        <f>IF(ISNUMBER(SEARCH(".5",F5)),SUM(F45-1),SUM(F45-2))</f>
        <v>6</v>
      </c>
      <c r="G47" s="21"/>
      <c r="H47" s="21">
        <f>F47*T40</f>
        <v>24</v>
      </c>
      <c r="I47" s="21"/>
      <c r="J47" s="21"/>
      <c r="K47" s="21"/>
      <c r="L47" s="21"/>
      <c r="M47" s="21"/>
      <c r="N47" s="22"/>
      <c r="O47" s="6"/>
      <c r="P47" s="71">
        <v>0.5</v>
      </c>
      <c r="Q47" s="71">
        <v>0</v>
      </c>
      <c r="R47" s="6"/>
      <c r="S47" s="6"/>
      <c r="T47" s="12"/>
      <c r="U47" s="6"/>
      <c r="V47" s="6"/>
      <c r="W47" s="6"/>
      <c r="X47" s="6"/>
      <c r="Y47" s="6"/>
      <c r="Z47" s="6"/>
      <c r="AA47" s="6"/>
      <c r="AB47" s="5"/>
      <c r="AC47" s="5"/>
      <c r="AD47" s="5"/>
      <c r="AF47"/>
      <c r="AG47"/>
      <c r="AH47"/>
      <c r="AI47"/>
      <c r="AJ47"/>
      <c r="AK47"/>
      <c r="AL47"/>
      <c r="AM47"/>
      <c r="AN47"/>
      <c r="AO47"/>
    </row>
    <row r="48" spans="1:41" s="7" customFormat="1" x14ac:dyDescent="0.25">
      <c r="A48" s="5"/>
      <c r="B48" s="5"/>
      <c r="C48" s="5"/>
      <c r="D48" s="63"/>
      <c r="E48" s="59" t="s">
        <v>78</v>
      </c>
      <c r="F48" s="73">
        <f>F46</f>
        <v>14</v>
      </c>
      <c r="G48" s="21"/>
      <c r="H48" s="21">
        <f>F48*T38</f>
        <v>21</v>
      </c>
      <c r="I48" s="21"/>
      <c r="J48" s="21"/>
      <c r="K48" s="21"/>
      <c r="L48" s="21"/>
      <c r="M48" s="21"/>
      <c r="N48" s="22"/>
      <c r="O48" s="6"/>
      <c r="P48" s="71">
        <v>1</v>
      </c>
      <c r="Q48" s="71">
        <v>0</v>
      </c>
      <c r="R48" s="6"/>
      <c r="S48" s="6"/>
      <c r="T48" s="12"/>
      <c r="U48" s="6"/>
      <c r="V48" s="6"/>
      <c r="W48" s="6"/>
      <c r="X48" s="6"/>
      <c r="Y48" s="6"/>
      <c r="Z48" s="6"/>
      <c r="AA48" s="6"/>
      <c r="AB48" s="5"/>
      <c r="AC48" s="5"/>
      <c r="AD48" s="5"/>
      <c r="AF48"/>
      <c r="AG48"/>
      <c r="AH48"/>
      <c r="AI48"/>
      <c r="AJ48"/>
      <c r="AK48"/>
      <c r="AL48"/>
      <c r="AM48"/>
      <c r="AN48"/>
      <c r="AO48"/>
    </row>
    <row r="49" spans="1:41" s="7" customFormat="1" x14ac:dyDescent="0.25">
      <c r="A49" s="5"/>
      <c r="B49" s="5"/>
      <c r="C49" s="5"/>
      <c r="D49" s="63"/>
      <c r="E49" s="59" t="s">
        <v>92</v>
      </c>
      <c r="F49" s="73">
        <f>IF(H5&gt;2.6,(F47*2),F47)</f>
        <v>6</v>
      </c>
      <c r="G49" s="21"/>
      <c r="H49" s="21">
        <f>F49*T39</f>
        <v>18</v>
      </c>
      <c r="I49" s="21" t="s">
        <v>95</v>
      </c>
      <c r="J49" s="21"/>
      <c r="K49" s="21"/>
      <c r="L49" s="21"/>
      <c r="M49" s="21"/>
      <c r="N49" s="22"/>
      <c r="O49" s="6"/>
      <c r="P49" s="71">
        <v>1.5</v>
      </c>
      <c r="Q49" s="71">
        <v>20</v>
      </c>
      <c r="R49" s="6"/>
      <c r="S49" s="6"/>
      <c r="T49" s="12"/>
      <c r="U49" s="6"/>
      <c r="V49" s="6"/>
      <c r="W49" s="6"/>
      <c r="X49" s="6"/>
      <c r="Y49" s="6"/>
      <c r="Z49" s="6"/>
      <c r="AA49" s="6"/>
      <c r="AB49" s="5"/>
      <c r="AC49" s="5"/>
      <c r="AD49" s="5"/>
      <c r="AF49"/>
      <c r="AG49"/>
      <c r="AH49"/>
      <c r="AI49"/>
      <c r="AJ49"/>
      <c r="AK49"/>
      <c r="AL49"/>
      <c r="AM49"/>
      <c r="AN49"/>
      <c r="AO49"/>
    </row>
    <row r="50" spans="1:41" s="7" customFormat="1" x14ac:dyDescent="0.25">
      <c r="A50" s="5"/>
      <c r="B50" s="5"/>
      <c r="C50" s="5"/>
      <c r="D50" s="63"/>
      <c r="E50" s="97" t="s">
        <v>94</v>
      </c>
      <c r="F50" s="98">
        <f>LOOKUP(H36,P46:P57,Q46:Q57)</f>
        <v>64</v>
      </c>
      <c r="G50" s="92">
        <f>ROUNDUP(F50/12.5,0)</f>
        <v>6</v>
      </c>
      <c r="H50" s="93"/>
      <c r="I50" s="99">
        <f>G50*F45</f>
        <v>42</v>
      </c>
      <c r="J50" s="21"/>
      <c r="K50" s="21"/>
      <c r="L50" s="21"/>
      <c r="M50" s="21"/>
      <c r="N50" s="22"/>
      <c r="O50" s="6"/>
      <c r="P50" s="71">
        <v>2</v>
      </c>
      <c r="Q50" s="71">
        <v>36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5"/>
      <c r="AC50" s="5"/>
      <c r="AD50" s="5"/>
      <c r="AF50"/>
      <c r="AG50"/>
      <c r="AH50"/>
      <c r="AI50"/>
      <c r="AJ50"/>
      <c r="AK50"/>
      <c r="AL50"/>
      <c r="AM50"/>
      <c r="AN50"/>
      <c r="AO50"/>
    </row>
    <row r="51" spans="1:41" s="7" customFormat="1" ht="14.45" customHeight="1" x14ac:dyDescent="0.25">
      <c r="A51" s="5"/>
      <c r="B51" s="5"/>
      <c r="C51" s="5"/>
      <c r="D51" s="63"/>
      <c r="E51" s="97"/>
      <c r="F51" s="98"/>
      <c r="G51" s="94"/>
      <c r="H51" s="95"/>
      <c r="I51" s="99"/>
      <c r="J51" s="21"/>
      <c r="K51" s="21"/>
      <c r="L51" s="21"/>
      <c r="M51" s="21"/>
      <c r="N51" s="22"/>
      <c r="O51" s="6"/>
      <c r="P51" s="71">
        <v>2.5</v>
      </c>
      <c r="Q51" s="71">
        <v>64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5"/>
      <c r="AC51" s="5"/>
      <c r="AD51" s="5"/>
      <c r="AF51"/>
      <c r="AG51"/>
      <c r="AH51"/>
      <c r="AI51"/>
      <c r="AJ51"/>
      <c r="AK51"/>
      <c r="AL51"/>
      <c r="AM51"/>
      <c r="AN51"/>
      <c r="AO51"/>
    </row>
    <row r="52" spans="1:41" s="7" customFormat="1" ht="14.45" customHeight="1" x14ac:dyDescent="0.25">
      <c r="A52" s="5"/>
      <c r="B52" s="5"/>
      <c r="C52" s="5"/>
      <c r="D52" s="63"/>
      <c r="E52" s="59"/>
      <c r="F52" s="21"/>
      <c r="G52" s="96" t="s">
        <v>93</v>
      </c>
      <c r="H52" s="96"/>
      <c r="I52" s="21"/>
      <c r="J52" s="21"/>
      <c r="K52" s="21"/>
      <c r="L52" s="21"/>
      <c r="M52" s="21"/>
      <c r="N52" s="22"/>
      <c r="O52" s="6"/>
      <c r="P52" s="71">
        <v>3</v>
      </c>
      <c r="Q52" s="71">
        <v>92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5"/>
      <c r="AC52" s="5"/>
      <c r="AD52" s="5"/>
      <c r="AF52"/>
      <c r="AG52"/>
      <c r="AH52"/>
      <c r="AI52"/>
      <c r="AJ52"/>
      <c r="AK52"/>
      <c r="AL52"/>
      <c r="AM52"/>
      <c r="AN52"/>
      <c r="AO52"/>
    </row>
    <row r="53" spans="1:41" s="7" customFormat="1" ht="14.45" customHeight="1" x14ac:dyDescent="0.25">
      <c r="A53" s="5"/>
      <c r="B53" s="5"/>
      <c r="C53" s="5"/>
      <c r="D53" s="74"/>
      <c r="E53" s="59"/>
      <c r="F53" s="21"/>
      <c r="G53" s="96"/>
      <c r="H53" s="96"/>
      <c r="I53" s="59"/>
      <c r="J53" s="31"/>
      <c r="K53" s="31"/>
      <c r="L53" s="31"/>
      <c r="M53" s="31"/>
      <c r="N53" s="38"/>
      <c r="O53" s="6"/>
      <c r="P53" s="71">
        <v>3.5</v>
      </c>
      <c r="Q53" s="71">
        <v>132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5"/>
      <c r="AC53" s="5"/>
      <c r="AD53" s="5"/>
      <c r="AF53"/>
      <c r="AG53"/>
      <c r="AH53"/>
      <c r="AI53"/>
      <c r="AJ53"/>
      <c r="AK53"/>
      <c r="AL53"/>
      <c r="AM53"/>
      <c r="AN53"/>
      <c r="AO53"/>
    </row>
    <row r="54" spans="1:41" s="7" customFormat="1" x14ac:dyDescent="0.25">
      <c r="A54" s="5"/>
      <c r="B54" s="5"/>
      <c r="C54" s="5"/>
      <c r="D54" s="75"/>
      <c r="E54" s="61"/>
      <c r="F54" s="26"/>
      <c r="G54" s="76"/>
      <c r="H54" s="76"/>
      <c r="I54" s="61"/>
      <c r="J54" s="54"/>
      <c r="K54" s="54"/>
      <c r="L54" s="54"/>
      <c r="M54" s="54"/>
      <c r="N54" s="55"/>
      <c r="O54" s="6"/>
      <c r="P54" s="71">
        <v>4</v>
      </c>
      <c r="Q54" s="71">
        <v>176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5"/>
      <c r="AC54" s="5"/>
      <c r="AD54" s="5"/>
      <c r="AF54"/>
      <c r="AG54"/>
      <c r="AH54"/>
      <c r="AI54"/>
      <c r="AJ54"/>
      <c r="AK54"/>
      <c r="AL54"/>
      <c r="AM54"/>
      <c r="AN54"/>
      <c r="AO54"/>
    </row>
    <row r="55" spans="1:41" s="7" customFormat="1" x14ac:dyDescent="0.25">
      <c r="A55" s="5"/>
      <c r="B55" s="5"/>
      <c r="C55" s="5"/>
      <c r="D55" s="5"/>
      <c r="E55" s="5"/>
      <c r="F55" s="6"/>
      <c r="G55" s="6"/>
      <c r="H55" s="6"/>
      <c r="I55" s="6"/>
      <c r="J55" s="6"/>
      <c r="K55" s="6"/>
      <c r="L55" s="6"/>
      <c r="M55" s="6"/>
      <c r="N55" s="6"/>
      <c r="O55" s="6"/>
      <c r="P55" s="71">
        <v>4.5</v>
      </c>
      <c r="Q55" s="71">
        <v>200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5"/>
      <c r="AC55" s="5"/>
      <c r="AD55" s="5"/>
      <c r="AF55"/>
      <c r="AG55"/>
      <c r="AH55"/>
      <c r="AI55"/>
      <c r="AJ55"/>
      <c r="AK55"/>
      <c r="AL55"/>
      <c r="AM55"/>
      <c r="AN55"/>
      <c r="AO55"/>
    </row>
    <row r="56" spans="1:41" s="7" customFormat="1" x14ac:dyDescent="0.25">
      <c r="A56" s="5"/>
      <c r="B56" s="5"/>
      <c r="C56" s="5"/>
      <c r="D56" s="5"/>
      <c r="E56" s="5"/>
      <c r="F56" s="6"/>
      <c r="G56" s="6"/>
      <c r="H56" s="6"/>
      <c r="I56" s="6"/>
      <c r="J56" s="6"/>
      <c r="K56" s="6"/>
      <c r="L56" s="6"/>
      <c r="M56" s="6"/>
      <c r="N56" s="6"/>
      <c r="O56" s="6"/>
      <c r="P56" s="71">
        <v>5</v>
      </c>
      <c r="Q56" s="71">
        <v>228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5"/>
      <c r="AC56" s="5"/>
      <c r="AD56" s="5"/>
      <c r="AF56"/>
      <c r="AG56"/>
      <c r="AH56"/>
      <c r="AI56"/>
      <c r="AJ56"/>
      <c r="AK56"/>
      <c r="AL56"/>
      <c r="AM56"/>
      <c r="AN56"/>
      <c r="AO56"/>
    </row>
    <row r="57" spans="1:41" s="7" customFormat="1" x14ac:dyDescent="0.25">
      <c r="A57" s="5"/>
      <c r="B57" s="5"/>
      <c r="C57" s="5"/>
      <c r="D57" s="5"/>
      <c r="E57" s="5"/>
      <c r="F57" s="6"/>
      <c r="G57" s="6"/>
      <c r="H57" s="6"/>
      <c r="I57" s="6"/>
      <c r="J57" s="6"/>
      <c r="K57" s="6"/>
      <c r="L57" s="6"/>
      <c r="M57" s="6"/>
      <c r="N57" s="6"/>
      <c r="O57" s="6"/>
      <c r="P57" s="71">
        <v>5.5</v>
      </c>
      <c r="Q57" s="71">
        <v>260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5"/>
      <c r="AC57" s="5"/>
      <c r="AD57" s="5"/>
      <c r="AF57"/>
      <c r="AG57"/>
      <c r="AH57"/>
      <c r="AI57"/>
      <c r="AJ57"/>
      <c r="AK57"/>
      <c r="AL57"/>
      <c r="AM57"/>
      <c r="AN57"/>
      <c r="AO57"/>
    </row>
    <row r="58" spans="1:41" s="7" customFormat="1" x14ac:dyDescent="0.25">
      <c r="A58" s="85"/>
      <c r="B58" s="85"/>
      <c r="C58" s="85"/>
      <c r="D58" s="85"/>
      <c r="E58" s="5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5"/>
      <c r="AC58" s="5"/>
      <c r="AD58" s="5"/>
      <c r="AF58"/>
      <c r="AG58"/>
      <c r="AH58"/>
      <c r="AI58"/>
      <c r="AJ58"/>
      <c r="AK58"/>
      <c r="AL58"/>
      <c r="AM58"/>
      <c r="AN58"/>
      <c r="AO58"/>
    </row>
    <row r="59" spans="1:41" s="7" customFormat="1" x14ac:dyDescent="0.25">
      <c r="A59" s="85"/>
      <c r="B59" s="85"/>
      <c r="C59" s="85"/>
      <c r="D59" s="85"/>
      <c r="E59" s="5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5"/>
      <c r="AC59" s="5"/>
      <c r="AD59" s="5"/>
      <c r="AF59"/>
      <c r="AG59"/>
      <c r="AH59"/>
      <c r="AI59"/>
      <c r="AJ59"/>
      <c r="AK59"/>
      <c r="AL59"/>
      <c r="AM59"/>
      <c r="AN59"/>
      <c r="AO59"/>
    </row>
    <row r="60" spans="1:41" s="7" customFormat="1" x14ac:dyDescent="0.25">
      <c r="A60" s="85"/>
      <c r="B60" s="85"/>
      <c r="C60" s="85"/>
      <c r="D60" s="85"/>
      <c r="E60" s="5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5"/>
      <c r="AC60" s="5"/>
      <c r="AD60" s="5"/>
      <c r="AF60"/>
      <c r="AG60"/>
      <c r="AH60"/>
      <c r="AI60"/>
      <c r="AJ60"/>
      <c r="AK60"/>
      <c r="AL60"/>
      <c r="AM60"/>
      <c r="AN60"/>
      <c r="AO60"/>
    </row>
    <row r="61" spans="1:41" s="7" customFormat="1" x14ac:dyDescent="0.25">
      <c r="A61" s="85"/>
      <c r="B61" s="85"/>
      <c r="C61" s="85"/>
      <c r="D61" s="85"/>
      <c r="E61" s="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5"/>
      <c r="AC61" s="5"/>
      <c r="AD61" s="5"/>
      <c r="AF61"/>
      <c r="AG61"/>
      <c r="AH61"/>
      <c r="AI61"/>
      <c r="AJ61"/>
      <c r="AK61"/>
      <c r="AL61"/>
      <c r="AM61"/>
      <c r="AN61"/>
      <c r="AO61"/>
    </row>
    <row r="62" spans="1:41" s="7" customFormat="1" x14ac:dyDescent="0.25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77"/>
      <c r="Z62" s="77"/>
      <c r="AA62" s="77"/>
    </row>
    <row r="63" spans="1:41" x14ac:dyDescent="0.25">
      <c r="A63" s="87"/>
      <c r="B63" s="87"/>
      <c r="C63" s="87"/>
      <c r="D63" s="87"/>
    </row>
    <row r="64" spans="1:41" x14ac:dyDescent="0.25">
      <c r="A64" s="87"/>
      <c r="B64" s="87"/>
      <c r="C64" s="87"/>
      <c r="D64" s="87"/>
    </row>
    <row r="65" spans="1:4" x14ac:dyDescent="0.25">
      <c r="A65" s="87"/>
      <c r="B65" s="87"/>
      <c r="C65" s="87"/>
      <c r="D65" s="87"/>
    </row>
    <row r="66" spans="1:4" x14ac:dyDescent="0.25">
      <c r="A66" s="87"/>
      <c r="B66" s="87"/>
      <c r="C66" s="87"/>
      <c r="D66" s="87"/>
    </row>
    <row r="67" spans="1:4" x14ac:dyDescent="0.25">
      <c r="A67" s="87"/>
      <c r="B67" s="87"/>
      <c r="C67" s="87"/>
      <c r="D67" s="87"/>
    </row>
    <row r="68" spans="1:4" x14ac:dyDescent="0.25">
      <c r="A68" s="87"/>
      <c r="B68" s="87"/>
      <c r="C68" s="87"/>
      <c r="D68" s="87"/>
    </row>
  </sheetData>
  <sheetProtection algorithmName="SHA-512" hashValue="YfGppUgMabl/07ycErUml6JH9CglIEsM4W0ckj0YSpx5Zn9Iz+Ihf/qiie9LOJYhPhmIwBPz9gWO3Sc7lhX7YA==" saltValue="iJA+RNUeogk3USxGD32VTw==" spinCount="100000" sheet="1" objects="1" scenarios="1"/>
  <mergeCells count="62">
    <mergeCell ref="Q4:V6"/>
    <mergeCell ref="J2:L2"/>
    <mergeCell ref="D9:E9"/>
    <mergeCell ref="D10:E10"/>
    <mergeCell ref="I10:J10"/>
    <mergeCell ref="J3:M3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I16:J16"/>
    <mergeCell ref="D17:E17"/>
    <mergeCell ref="I17:J17"/>
    <mergeCell ref="D18:E18"/>
    <mergeCell ref="I18:J18"/>
    <mergeCell ref="K18:L18"/>
    <mergeCell ref="P21:Q21"/>
    <mergeCell ref="V21:W21"/>
    <mergeCell ref="D22:E22"/>
    <mergeCell ref="I22:J22"/>
    <mergeCell ref="D19:E19"/>
    <mergeCell ref="I19:J19"/>
    <mergeCell ref="D20:E20"/>
    <mergeCell ref="I20:J20"/>
    <mergeCell ref="P20:Q20"/>
    <mergeCell ref="D23:E23"/>
    <mergeCell ref="I23:J23"/>
    <mergeCell ref="D24:E24"/>
    <mergeCell ref="I24:J24"/>
    <mergeCell ref="D21:E21"/>
    <mergeCell ref="I21:J21"/>
    <mergeCell ref="D27:E27"/>
    <mergeCell ref="I27:J27"/>
    <mergeCell ref="D28:E28"/>
    <mergeCell ref="I28:J28"/>
    <mergeCell ref="D25:E25"/>
    <mergeCell ref="I25:J25"/>
    <mergeCell ref="D26:E26"/>
    <mergeCell ref="I26:J26"/>
    <mergeCell ref="D29:E29"/>
    <mergeCell ref="F29:G29"/>
    <mergeCell ref="I29:J29"/>
    <mergeCell ref="D30:E30"/>
    <mergeCell ref="F30:G30"/>
    <mergeCell ref="I30:J30"/>
    <mergeCell ref="F32:G32"/>
    <mergeCell ref="K32:L32"/>
    <mergeCell ref="P44:Q44"/>
    <mergeCell ref="E33:H33"/>
    <mergeCell ref="J33:M33"/>
    <mergeCell ref="G50:H51"/>
    <mergeCell ref="G52:H53"/>
    <mergeCell ref="E50:E51"/>
    <mergeCell ref="F50:F51"/>
    <mergeCell ref="I50:I51"/>
  </mergeCells>
  <conditionalFormatting sqref="F6">
    <cfRule type="cellIs" dxfId="14" priority="30" operator="greaterThan">
      <formula>2048</formula>
    </cfRule>
  </conditionalFormatting>
  <conditionalFormatting sqref="F7">
    <cfRule type="cellIs" dxfId="13" priority="32" operator="greaterThan">
      <formula>2621440</formula>
    </cfRule>
  </conditionalFormatting>
  <conditionalFormatting sqref="F16">
    <cfRule type="cellIs" dxfId="12" priority="25" operator="greaterThan">
      <formula>#REF!</formula>
    </cfRule>
  </conditionalFormatting>
  <conditionalFormatting sqref="F37">
    <cfRule type="cellIs" dxfId="11" priority="1" operator="greaterThan">
      <formula>$F$36</formula>
    </cfRule>
    <cfRule type="cellIs" dxfId="10" priority="2" operator="lessThan">
      <formula>$F$36</formula>
    </cfRule>
    <cfRule type="cellIs" dxfId="9" priority="3" operator="lessThan">
      <formula>$E$8</formula>
    </cfRule>
  </conditionalFormatting>
  <conditionalFormatting sqref="G50 I50">
    <cfRule type="cellIs" dxfId="8" priority="5" operator="lessThan">
      <formula>0</formula>
    </cfRule>
    <cfRule type="cellIs" dxfId="7" priority="6" operator="lessThan">
      <formula>0</formula>
    </cfRule>
  </conditionalFormatting>
  <conditionalFormatting sqref="H6">
    <cfRule type="cellIs" dxfId="6" priority="29" operator="greaterThan">
      <formula>1200</formula>
    </cfRule>
  </conditionalFormatting>
  <conditionalFormatting sqref="H37">
    <cfRule type="cellIs" dxfId="5" priority="26" operator="greaterThan">
      <formula>$H$36</formula>
    </cfRule>
    <cfRule type="cellIs" dxfId="4" priority="27" operator="lessThan">
      <formula>#REF!</formula>
    </cfRule>
  </conditionalFormatting>
  <conditionalFormatting sqref="K37">
    <cfRule type="cellIs" dxfId="3" priority="23" operator="lessThan">
      <formula>$K$36</formula>
    </cfRule>
    <cfRule type="cellIs" dxfId="2" priority="24" operator="greaterThan">
      <formula>$K$36</formula>
    </cfRule>
  </conditionalFormatting>
  <conditionalFormatting sqref="W23:W29">
    <cfRule type="cellIs" dxfId="1" priority="9" operator="lessThan">
      <formula>$S$29</formula>
    </cfRule>
    <cfRule type="cellIs" dxfId="0" priority="16" operator="lessThan">
      <formula>$T$32</formula>
    </cfRule>
  </conditionalFormatting>
  <dataValidations count="1">
    <dataValidation allowBlank="1" showInputMessage="1" showErrorMessage="1" promptTitle="Manual Overide" prompt="Are you sure you want to overide amounts below?" sqref="K18:L18" xr:uid="{4FFE6517-F8A9-4576-B956-4EEB4EBCD99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ignoredErrors>
    <ignoredError sqref="H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Absen PL2.5</vt:lpstr>
      <vt:lpstr>'Absen PL2.5'!Print_Area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Blaine Johnstone</dc:creator>
  <cp:lastModifiedBy>Blaine Johnstone</cp:lastModifiedBy>
  <dcterms:created xsi:type="dcterms:W3CDTF">2021-07-06T16:20:40Z</dcterms:created>
  <dcterms:modified xsi:type="dcterms:W3CDTF">2025-03-27T09:56:36Z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eee1e8-a13a-47c9-8b3f-1b74a156a1de_Enabled">
    <vt:lpwstr>true</vt:lpwstr>
  </property>
  <property fmtid="{D5CDD505-2E9C-101B-9397-08002B2CF9AE}" pid="3" name="MSIP_Label_b7eee1e8-a13a-47c9-8b3f-1b74a156a1de_SetDate">
    <vt:lpwstr>2023-07-20T14:22:34Z</vt:lpwstr>
  </property>
  <property fmtid="{D5CDD505-2E9C-101B-9397-08002B2CF9AE}" pid="4" name="MSIP_Label_b7eee1e8-a13a-47c9-8b3f-1b74a156a1de_Method">
    <vt:lpwstr>Standard</vt:lpwstr>
  </property>
  <property fmtid="{D5CDD505-2E9C-101B-9397-08002B2CF9AE}" pid="5" name="MSIP_Label_b7eee1e8-a13a-47c9-8b3f-1b74a156a1de_Name">
    <vt:lpwstr>b7eee1e8-a13a-47c9-8b3f-1b74a156a1de</vt:lpwstr>
  </property>
  <property fmtid="{D5CDD505-2E9C-101B-9397-08002B2CF9AE}" pid="6" name="MSIP_Label_b7eee1e8-a13a-47c9-8b3f-1b74a156a1de_SiteId">
    <vt:lpwstr>ac8c3fb5-3cfc-4199-b2c9-aad4972841b2</vt:lpwstr>
  </property>
  <property fmtid="{D5CDD505-2E9C-101B-9397-08002B2CF9AE}" pid="7" name="MSIP_Label_b7eee1e8-a13a-47c9-8b3f-1b74a156a1de_ActionId">
    <vt:lpwstr>10ac4544-2840-4485-8989-2bf30ea654d6</vt:lpwstr>
  </property>
  <property fmtid="{D5CDD505-2E9C-101B-9397-08002B2CF9AE}" pid="8" name="MSIP_Label_b7eee1e8-a13a-47c9-8b3f-1b74a156a1de_ContentBits">
    <vt:lpwstr>0</vt:lpwstr>
  </property>
</Properties>
</file>